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My Documents\MINISTARSTVO 2024\POLUGODIŠNJI IZVJEŠTAJ PRORAČUNA SAP\"/>
    </mc:Choice>
  </mc:AlternateContent>
  <xr:revisionPtr revIDLastSave="0" documentId="13_ncr:1_{3242086A-75FB-4EF8-909C-3946E8004643}" xr6:coauthVersionLast="47" xr6:coauthVersionMax="47" xr10:uidLastSave="{00000000-0000-0000-0000-000000000000}"/>
  <bookViews>
    <workbookView xWindow="0" yWindow="15" windowWidth="24000" windowHeight="1288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1" r:id="rId5"/>
  </sheets>
  <definedNames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1" l="1"/>
  <c r="G136" i="11"/>
  <c r="H83" i="11"/>
  <c r="G83" i="11"/>
  <c r="G28" i="11"/>
  <c r="H28" i="11"/>
  <c r="H21" i="11" s="1"/>
  <c r="G16" i="5"/>
  <c r="G18" i="5"/>
  <c r="E34" i="5"/>
  <c r="E32" i="5"/>
  <c r="E29" i="5"/>
  <c r="E27" i="5"/>
  <c r="E25" i="5"/>
  <c r="E23" i="5"/>
  <c r="J91" i="3"/>
  <c r="G91" i="3"/>
  <c r="H91" i="3"/>
  <c r="I91" i="3"/>
  <c r="F156" i="11"/>
  <c r="F155" i="11" s="1"/>
  <c r="G156" i="11"/>
  <c r="G155" i="11" s="1"/>
  <c r="H156" i="11"/>
  <c r="H129" i="11"/>
  <c r="I129" i="11" s="1"/>
  <c r="H127" i="11"/>
  <c r="I127" i="11" s="1"/>
  <c r="H125" i="11"/>
  <c r="I125" i="11" s="1"/>
  <c r="H123" i="11"/>
  <c r="I123" i="11" s="1"/>
  <c r="H114" i="11"/>
  <c r="H113" i="11" s="1"/>
  <c r="H112" i="11"/>
  <c r="I112" i="11" s="1"/>
  <c r="H110" i="11"/>
  <c r="H108" i="11"/>
  <c r="I108" i="11" s="1"/>
  <c r="H107" i="11"/>
  <c r="I107" i="11" s="1"/>
  <c r="H106" i="11"/>
  <c r="I106" i="11" s="1"/>
  <c r="H105" i="11"/>
  <c r="I105" i="11" s="1"/>
  <c r="H104" i="11"/>
  <c r="I104" i="11" s="1"/>
  <c r="H103" i="11"/>
  <c r="I103" i="11" s="1"/>
  <c r="H102" i="11"/>
  <c r="I102" i="11" s="1"/>
  <c r="H101" i="11"/>
  <c r="I101" i="11" s="1"/>
  <c r="H99" i="11"/>
  <c r="I99" i="11" s="1"/>
  <c r="H98" i="11"/>
  <c r="H97" i="11"/>
  <c r="I97" i="11" s="1"/>
  <c r="H96" i="11"/>
  <c r="H95" i="11"/>
  <c r="I95" i="11" s="1"/>
  <c r="H92" i="11"/>
  <c r="I92" i="11" s="1"/>
  <c r="H91" i="11"/>
  <c r="H90" i="11"/>
  <c r="I90" i="11" s="1"/>
  <c r="H89" i="11"/>
  <c r="I89" i="11" s="1"/>
  <c r="H88" i="11"/>
  <c r="I88" i="11" s="1"/>
  <c r="H86" i="11"/>
  <c r="I86" i="11" s="1"/>
  <c r="H85" i="11"/>
  <c r="I85" i="11" s="1"/>
  <c r="H84" i="11"/>
  <c r="I84" i="11" s="1"/>
  <c r="H82" i="11"/>
  <c r="I82" i="11" s="1"/>
  <c r="H81" i="11"/>
  <c r="I81" i="11" s="1"/>
  <c r="H80" i="11"/>
  <c r="I80" i="11" s="1"/>
  <c r="H79" i="11"/>
  <c r="I79" i="11" s="1"/>
  <c r="H78" i="11"/>
  <c r="I78" i="11" s="1"/>
  <c r="H71" i="11"/>
  <c r="I71" i="11" s="1"/>
  <c r="H69" i="11"/>
  <c r="I69" i="11" s="1"/>
  <c r="H68" i="11"/>
  <c r="I68" i="11" s="1"/>
  <c r="H67" i="11"/>
  <c r="H66" i="11"/>
  <c r="I66" i="11" s="1"/>
  <c r="H59" i="11"/>
  <c r="I59" i="11" s="1"/>
  <c r="H55" i="11"/>
  <c r="H54" i="11"/>
  <c r="H52" i="11"/>
  <c r="I52" i="11" s="1"/>
  <c r="H47" i="11"/>
  <c r="I47" i="11" s="1"/>
  <c r="H46" i="11"/>
  <c r="I46" i="11" s="1"/>
  <c r="H45" i="11"/>
  <c r="I45" i="11" s="1"/>
  <c r="H44" i="11"/>
  <c r="H43" i="11"/>
  <c r="I43" i="11" s="1"/>
  <c r="H42" i="11"/>
  <c r="I42" i="11" s="1"/>
  <c r="H41" i="1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H34" i="11"/>
  <c r="I34" i="11" s="1"/>
  <c r="H33" i="11"/>
  <c r="I33" i="11" s="1"/>
  <c r="H31" i="11"/>
  <c r="H30" i="11"/>
  <c r="I30" i="11" s="1"/>
  <c r="H29" i="11"/>
  <c r="I29" i="11" s="1"/>
  <c r="H27" i="11"/>
  <c r="I27" i="11" s="1"/>
  <c r="H25" i="11"/>
  <c r="I25" i="11" s="1"/>
  <c r="H24" i="11"/>
  <c r="I24" i="11" s="1"/>
  <c r="H23" i="11"/>
  <c r="I23" i="11" s="1"/>
  <c r="I165" i="11"/>
  <c r="I163" i="11"/>
  <c r="I162" i="11"/>
  <c r="I161" i="11"/>
  <c r="H160" i="11"/>
  <c r="G160" i="11"/>
  <c r="G159" i="11" s="1"/>
  <c r="F160" i="11"/>
  <c r="F159" i="11" s="1"/>
  <c r="I154" i="11"/>
  <c r="I150" i="11"/>
  <c r="H149" i="11"/>
  <c r="G149" i="11"/>
  <c r="F149" i="11"/>
  <c r="I146" i="11"/>
  <c r="I144" i="11"/>
  <c r="I142" i="11"/>
  <c r="F136" i="11"/>
  <c r="I135" i="11"/>
  <c r="H134" i="11"/>
  <c r="G134" i="11"/>
  <c r="F134" i="11"/>
  <c r="F133" i="11" s="1"/>
  <c r="I130" i="11"/>
  <c r="I126" i="11"/>
  <c r="I124" i="11"/>
  <c r="I122" i="11"/>
  <c r="G120" i="11"/>
  <c r="F120" i="11"/>
  <c r="H118" i="11"/>
  <c r="G118" i="11"/>
  <c r="F118" i="11"/>
  <c r="I117" i="11"/>
  <c r="H116" i="11"/>
  <c r="I116" i="11" s="1"/>
  <c r="G116" i="11"/>
  <c r="F116" i="11"/>
  <c r="I114" i="11"/>
  <c r="G113" i="11"/>
  <c r="F113" i="11"/>
  <c r="I111" i="11"/>
  <c r="I110" i="11"/>
  <c r="I109" i="11"/>
  <c r="I100" i="11"/>
  <c r="I98" i="11"/>
  <c r="I96" i="11"/>
  <c r="I91" i="11"/>
  <c r="I87" i="11"/>
  <c r="F83" i="11"/>
  <c r="G77" i="11"/>
  <c r="F77" i="11"/>
  <c r="H73" i="11"/>
  <c r="G73" i="11"/>
  <c r="F73" i="11"/>
  <c r="I72" i="11"/>
  <c r="I70" i="11"/>
  <c r="I65" i="11"/>
  <c r="G64" i="11"/>
  <c r="F64" i="11"/>
  <c r="I63" i="11"/>
  <c r="H62" i="11"/>
  <c r="G62" i="11"/>
  <c r="F62" i="11"/>
  <c r="I61" i="11"/>
  <c r="H60" i="11"/>
  <c r="G60" i="11"/>
  <c r="F60" i="11"/>
  <c r="I58" i="11"/>
  <c r="I57" i="11"/>
  <c r="G56" i="11"/>
  <c r="F56" i="11"/>
  <c r="I55" i="11"/>
  <c r="I54" i="11"/>
  <c r="I53" i="11"/>
  <c r="I49" i="11"/>
  <c r="I48" i="11"/>
  <c r="I44" i="11"/>
  <c r="I41" i="11"/>
  <c r="I35" i="11"/>
  <c r="I32" i="11"/>
  <c r="I31" i="11"/>
  <c r="F28" i="11"/>
  <c r="I26" i="11"/>
  <c r="G22" i="11"/>
  <c r="F22" i="11"/>
  <c r="H18" i="11"/>
  <c r="H17" i="11" s="1"/>
  <c r="G16" i="11"/>
  <c r="F16" i="11"/>
  <c r="G8" i="11"/>
  <c r="F8" i="11"/>
  <c r="E19" i="5"/>
  <c r="E17" i="5"/>
  <c r="E13" i="5"/>
  <c r="E11" i="5"/>
  <c r="E9" i="5"/>
  <c r="K36" i="3"/>
  <c r="K37" i="3"/>
  <c r="K124" i="3"/>
  <c r="K71" i="3"/>
  <c r="H133" i="11" l="1"/>
  <c r="H12" i="11" s="1"/>
  <c r="I12" i="11" s="1"/>
  <c r="I62" i="11"/>
  <c r="H77" i="11"/>
  <c r="I77" i="11" s="1"/>
  <c r="I113" i="11"/>
  <c r="I28" i="11"/>
  <c r="G133" i="11"/>
  <c r="I60" i="11"/>
  <c r="I136" i="11"/>
  <c r="I160" i="11"/>
  <c r="F76" i="11"/>
  <c r="H64" i="11"/>
  <c r="I64" i="11" s="1"/>
  <c r="I134" i="11"/>
  <c r="I67" i="11"/>
  <c r="G76" i="11"/>
  <c r="I149" i="11"/>
  <c r="F21" i="11"/>
  <c r="G21" i="11"/>
  <c r="H159" i="11"/>
  <c r="H120" i="11"/>
  <c r="I120" i="11" s="1"/>
  <c r="H22" i="11"/>
  <c r="H155" i="11"/>
  <c r="H9" i="11"/>
  <c r="H56" i="11"/>
  <c r="I56" i="11" s="1"/>
  <c r="H16" i="11"/>
  <c r="J59" i="3"/>
  <c r="H137" i="3"/>
  <c r="H135" i="3"/>
  <c r="H134" i="3" s="1"/>
  <c r="H132" i="3"/>
  <c r="H130" i="3"/>
  <c r="H128" i="3"/>
  <c r="H120" i="3"/>
  <c r="H117" i="3"/>
  <c r="H116" i="3" s="1"/>
  <c r="H113" i="3"/>
  <c r="H112" i="3"/>
  <c r="H108" i="3"/>
  <c r="H107" i="3" s="1"/>
  <c r="H105" i="3"/>
  <c r="H104" i="3" s="1"/>
  <c r="H100" i="3"/>
  <c r="H99" i="3" s="1"/>
  <c r="H89" i="3"/>
  <c r="H79" i="3"/>
  <c r="H72" i="3"/>
  <c r="H67" i="3"/>
  <c r="H63" i="3"/>
  <c r="H61" i="3"/>
  <c r="H58" i="3"/>
  <c r="H57" i="3" l="1"/>
  <c r="I133" i="11"/>
  <c r="G20" i="11"/>
  <c r="G15" i="11" s="1"/>
  <c r="F20" i="11"/>
  <c r="F15" i="11" s="1"/>
  <c r="H66" i="3"/>
  <c r="H56" i="3" s="1"/>
  <c r="H55" i="3" s="1"/>
  <c r="H115" i="3"/>
  <c r="I159" i="11"/>
  <c r="H14" i="11"/>
  <c r="I14" i="11" s="1"/>
  <c r="H13" i="11"/>
  <c r="I22" i="11"/>
  <c r="I83" i="11"/>
  <c r="H76" i="11"/>
  <c r="J130" i="3"/>
  <c r="I130" i="3"/>
  <c r="G130" i="3"/>
  <c r="I89" i="3"/>
  <c r="I137" i="3"/>
  <c r="I135" i="3"/>
  <c r="I132" i="3"/>
  <c r="I128" i="3"/>
  <c r="I120" i="3"/>
  <c r="I117" i="3"/>
  <c r="I113" i="3"/>
  <c r="I112" i="3" s="1"/>
  <c r="I108" i="3"/>
  <c r="I107" i="3" s="1"/>
  <c r="I105" i="3"/>
  <c r="I104" i="3" s="1"/>
  <c r="I100" i="3"/>
  <c r="I99" i="3" s="1"/>
  <c r="I79" i="3"/>
  <c r="I72" i="3"/>
  <c r="I67" i="3"/>
  <c r="I66" i="3" s="1"/>
  <c r="I63" i="3"/>
  <c r="I61" i="3"/>
  <c r="I58" i="3"/>
  <c r="I53" i="3"/>
  <c r="I50" i="3"/>
  <c r="I48" i="3"/>
  <c r="I44" i="3"/>
  <c r="I42" i="3"/>
  <c r="I41" i="3" s="1"/>
  <c r="I39" i="3"/>
  <c r="I38" i="3" s="1"/>
  <c r="I35" i="3"/>
  <c r="I32" i="3"/>
  <c r="I29" i="3"/>
  <c r="I28" i="3" s="1"/>
  <c r="I24" i="3"/>
  <c r="I23" i="3" s="1"/>
  <c r="I19" i="3"/>
  <c r="I16" i="3"/>
  <c r="I13" i="3"/>
  <c r="J13" i="3"/>
  <c r="C7" i="8"/>
  <c r="C6" i="8" s="1"/>
  <c r="C34" i="5"/>
  <c r="C32" i="5"/>
  <c r="C29" i="5"/>
  <c r="C28" i="5"/>
  <c r="C27" i="5" s="1"/>
  <c r="C22" i="5" s="1"/>
  <c r="C26" i="5"/>
  <c r="C25" i="5"/>
  <c r="C23" i="5"/>
  <c r="C19" i="5"/>
  <c r="C17" i="5"/>
  <c r="C13" i="5"/>
  <c r="C11" i="5"/>
  <c r="C9" i="5"/>
  <c r="C7" i="5"/>
  <c r="G137" i="3"/>
  <c r="G135" i="3"/>
  <c r="G132" i="3"/>
  <c r="G128" i="3"/>
  <c r="G120" i="3"/>
  <c r="G117" i="3"/>
  <c r="G113" i="3"/>
  <c r="G112" i="3" s="1"/>
  <c r="G108" i="3"/>
  <c r="G107" i="3" s="1"/>
  <c r="G105" i="3"/>
  <c r="G104" i="3" s="1"/>
  <c r="G100" i="3"/>
  <c r="G99" i="3" s="1"/>
  <c r="G89" i="3"/>
  <c r="G79" i="3"/>
  <c r="G72" i="3"/>
  <c r="G67" i="3"/>
  <c r="G63" i="3"/>
  <c r="G61" i="3"/>
  <c r="G58" i="3"/>
  <c r="G53" i="3"/>
  <c r="G50" i="3"/>
  <c r="G48" i="3"/>
  <c r="G44" i="3"/>
  <c r="G42" i="3"/>
  <c r="G39" i="3"/>
  <c r="G38" i="3" s="1"/>
  <c r="G35" i="3"/>
  <c r="G32" i="3"/>
  <c r="G29" i="3"/>
  <c r="G28" i="3" s="1"/>
  <c r="G24" i="3"/>
  <c r="G23" i="3" s="1"/>
  <c r="G19" i="3"/>
  <c r="G16" i="3"/>
  <c r="G13" i="3"/>
  <c r="G15" i="1"/>
  <c r="G12" i="1"/>
  <c r="G16" i="1" s="1"/>
  <c r="C6" i="5" l="1"/>
  <c r="I57" i="3"/>
  <c r="I56" i="3" s="1"/>
  <c r="I55" i="3" s="1"/>
  <c r="I47" i="3"/>
  <c r="I46" i="3" s="1"/>
  <c r="G116" i="3"/>
  <c r="G12" i="3"/>
  <c r="I116" i="3"/>
  <c r="I115" i="3" s="1"/>
  <c r="I12" i="3"/>
  <c r="I31" i="3"/>
  <c r="I134" i="3"/>
  <c r="H11" i="11"/>
  <c r="I11" i="11" s="1"/>
  <c r="I76" i="11"/>
  <c r="H20" i="11"/>
  <c r="H10" i="11"/>
  <c r="H8" i="11" s="1"/>
  <c r="I21" i="11"/>
  <c r="G31" i="3"/>
  <c r="G134" i="3"/>
  <c r="G47" i="3"/>
  <c r="G46" i="3" s="1"/>
  <c r="G41" i="3"/>
  <c r="G57" i="3"/>
  <c r="G66" i="3"/>
  <c r="L25" i="1"/>
  <c r="L24" i="1"/>
  <c r="K25" i="1"/>
  <c r="K24" i="1"/>
  <c r="L14" i="1"/>
  <c r="L13" i="1"/>
  <c r="L11" i="1"/>
  <c r="L10" i="1"/>
  <c r="K14" i="1"/>
  <c r="K13" i="1"/>
  <c r="K11" i="1"/>
  <c r="K10" i="1"/>
  <c r="H8" i="8"/>
  <c r="G8" i="8"/>
  <c r="D7" i="8"/>
  <c r="D6" i="8" s="1"/>
  <c r="E7" i="8"/>
  <c r="F7" i="8"/>
  <c r="G7" i="8" s="1"/>
  <c r="E6" i="8"/>
  <c r="F6" i="8"/>
  <c r="G6" i="8" s="1"/>
  <c r="G24" i="5"/>
  <c r="D29" i="5"/>
  <c r="F27" i="5"/>
  <c r="D23" i="5"/>
  <c r="F23" i="5"/>
  <c r="D25" i="5"/>
  <c r="F25" i="5"/>
  <c r="H25" i="5" s="1"/>
  <c r="D27" i="5"/>
  <c r="F29" i="5"/>
  <c r="D32" i="5"/>
  <c r="F32" i="5"/>
  <c r="D34" i="5"/>
  <c r="F34" i="5"/>
  <c r="H35" i="5"/>
  <c r="H26" i="5"/>
  <c r="H20" i="5"/>
  <c r="H15" i="5"/>
  <c r="H12" i="5"/>
  <c r="H10" i="5"/>
  <c r="F17" i="5"/>
  <c r="G17" i="5" s="1"/>
  <c r="D17" i="5"/>
  <c r="I11" i="3" l="1"/>
  <c r="I10" i="3" s="1"/>
  <c r="H34" i="5"/>
  <c r="H31" i="5"/>
  <c r="H7" i="8"/>
  <c r="H6" i="8"/>
  <c r="I10" i="11"/>
  <c r="I8" i="11"/>
  <c r="I20" i="11"/>
  <c r="H15" i="11"/>
  <c r="I15" i="11" s="1"/>
  <c r="G115" i="3"/>
  <c r="G11" i="3"/>
  <c r="G10" i="3" s="1"/>
  <c r="G56" i="3"/>
  <c r="G31" i="5"/>
  <c r="G26" i="5"/>
  <c r="G29" i="5"/>
  <c r="G27" i="5"/>
  <c r="H27" i="5"/>
  <c r="G28" i="5"/>
  <c r="H28" i="5"/>
  <c r="F22" i="5"/>
  <c r="G25" i="5"/>
  <c r="D22" i="5"/>
  <c r="E22" i="5"/>
  <c r="G23" i="5"/>
  <c r="H29" i="5"/>
  <c r="G8" i="5"/>
  <c r="D19" i="5"/>
  <c r="F19" i="5"/>
  <c r="D7" i="5"/>
  <c r="E7" i="5"/>
  <c r="F7" i="5"/>
  <c r="D9" i="5"/>
  <c r="F9" i="5"/>
  <c r="D11" i="5"/>
  <c r="F11" i="5"/>
  <c r="D13" i="5"/>
  <c r="F13" i="5"/>
  <c r="L133" i="3"/>
  <c r="L129" i="3"/>
  <c r="L127" i="3"/>
  <c r="L126" i="3"/>
  <c r="L125" i="3"/>
  <c r="L124" i="3"/>
  <c r="L123" i="3"/>
  <c r="L122" i="3"/>
  <c r="L121" i="3"/>
  <c r="L119" i="3"/>
  <c r="L114" i="3"/>
  <c r="L109" i="3"/>
  <c r="L106" i="3"/>
  <c r="L103" i="3"/>
  <c r="L102" i="3"/>
  <c r="L101" i="3"/>
  <c r="L98" i="3"/>
  <c r="L97" i="3"/>
  <c r="L96" i="3"/>
  <c r="L95" i="3"/>
  <c r="L94" i="3"/>
  <c r="L93" i="3"/>
  <c r="L92" i="3"/>
  <c r="L90" i="3"/>
  <c r="L88" i="3"/>
  <c r="L87" i="3"/>
  <c r="L86" i="3"/>
  <c r="L85" i="3"/>
  <c r="L84" i="3"/>
  <c r="L83" i="3"/>
  <c r="L82" i="3"/>
  <c r="L81" i="3"/>
  <c r="L80" i="3"/>
  <c r="L78" i="3"/>
  <c r="L77" i="3"/>
  <c r="L76" i="3"/>
  <c r="L75" i="3"/>
  <c r="L74" i="3"/>
  <c r="L73" i="3"/>
  <c r="L71" i="3"/>
  <c r="L70" i="3"/>
  <c r="L69" i="3"/>
  <c r="L68" i="3"/>
  <c r="L65" i="3"/>
  <c r="L64" i="3"/>
  <c r="L62" i="3"/>
  <c r="L60" i="3"/>
  <c r="L59" i="3"/>
  <c r="L54" i="3"/>
  <c r="L52" i="3"/>
  <c r="L45" i="3"/>
  <c r="L43" i="3"/>
  <c r="L34" i="3"/>
  <c r="L33" i="3"/>
  <c r="L30" i="3"/>
  <c r="L27" i="3"/>
  <c r="L25" i="3"/>
  <c r="L21" i="3"/>
  <c r="L20" i="3"/>
  <c r="L17" i="3"/>
  <c r="K101" i="3"/>
  <c r="K96" i="3"/>
  <c r="K95" i="3"/>
  <c r="K94" i="3"/>
  <c r="K87" i="3"/>
  <c r="K84" i="3"/>
  <c r="K83" i="3"/>
  <c r="K82" i="3"/>
  <c r="K69" i="3"/>
  <c r="K30" i="3"/>
  <c r="K127" i="3"/>
  <c r="K126" i="3"/>
  <c r="K125" i="3"/>
  <c r="K123" i="3"/>
  <c r="K122" i="3"/>
  <c r="K121" i="3"/>
  <c r="K119" i="3"/>
  <c r="K118" i="3"/>
  <c r="K109" i="3"/>
  <c r="K103" i="3"/>
  <c r="K98" i="3"/>
  <c r="K93" i="3"/>
  <c r="K92" i="3"/>
  <c r="K90" i="3"/>
  <c r="K88" i="3"/>
  <c r="K86" i="3"/>
  <c r="K85" i="3"/>
  <c r="K81" i="3"/>
  <c r="K80" i="3"/>
  <c r="K78" i="3"/>
  <c r="K77" i="3"/>
  <c r="K76" i="3"/>
  <c r="K75" i="3"/>
  <c r="K74" i="3"/>
  <c r="K70" i="3"/>
  <c r="K68" i="3"/>
  <c r="K65" i="3"/>
  <c r="K64" i="3"/>
  <c r="K60" i="3"/>
  <c r="K59" i="3"/>
  <c r="J132" i="3"/>
  <c r="J137" i="3"/>
  <c r="J135" i="3"/>
  <c r="J128" i="3"/>
  <c r="K128" i="3" s="1"/>
  <c r="J120" i="3"/>
  <c r="J117" i="3"/>
  <c r="J113" i="3"/>
  <c r="L113" i="3" s="1"/>
  <c r="J108" i="3"/>
  <c r="J107" i="3" s="1"/>
  <c r="J105" i="3"/>
  <c r="J104" i="3" s="1"/>
  <c r="L104" i="3" s="1"/>
  <c r="J100" i="3"/>
  <c r="J99" i="3" s="1"/>
  <c r="J89" i="3"/>
  <c r="L89" i="3" s="1"/>
  <c r="J79" i="3"/>
  <c r="J72" i="3"/>
  <c r="L72" i="3" s="1"/>
  <c r="J67" i="3"/>
  <c r="L67" i="3" s="1"/>
  <c r="J63" i="3"/>
  <c r="J61" i="3"/>
  <c r="J58" i="3"/>
  <c r="J32" i="3"/>
  <c r="J48" i="3"/>
  <c r="H48" i="3"/>
  <c r="H50" i="3"/>
  <c r="J35" i="3"/>
  <c r="K35" i="3" s="1"/>
  <c r="H35" i="3"/>
  <c r="H32" i="3"/>
  <c r="K34" i="3"/>
  <c r="K25" i="3"/>
  <c r="K22" i="3"/>
  <c r="K20" i="3"/>
  <c r="J53" i="3"/>
  <c r="K53" i="3" s="1"/>
  <c r="J50" i="3"/>
  <c r="L50" i="3" s="1"/>
  <c r="J44" i="3"/>
  <c r="K44" i="3" s="1"/>
  <c r="J42" i="3"/>
  <c r="K42" i="3" s="1"/>
  <c r="J39" i="3"/>
  <c r="J29" i="3"/>
  <c r="J28" i="3" s="1"/>
  <c r="J24" i="3"/>
  <c r="J23" i="3" s="1"/>
  <c r="J19" i="3"/>
  <c r="L19" i="3" s="1"/>
  <c r="J16" i="3"/>
  <c r="H53" i="3"/>
  <c r="H44" i="3"/>
  <c r="H42" i="3"/>
  <c r="H39" i="3"/>
  <c r="H38" i="3" s="1"/>
  <c r="H29" i="3"/>
  <c r="H28" i="3" s="1"/>
  <c r="H24" i="3"/>
  <c r="H23" i="3" s="1"/>
  <c r="H19" i="3"/>
  <c r="H16" i="3"/>
  <c r="H13" i="3"/>
  <c r="K15" i="3"/>
  <c r="K14" i="3"/>
  <c r="G55" i="3" l="1"/>
  <c r="J38" i="3"/>
  <c r="K38" i="3" s="1"/>
  <c r="K39" i="3"/>
  <c r="J116" i="3"/>
  <c r="J134" i="3"/>
  <c r="L132" i="3"/>
  <c r="L107" i="3"/>
  <c r="L61" i="3"/>
  <c r="L100" i="3"/>
  <c r="K62" i="3"/>
  <c r="L108" i="3"/>
  <c r="L53" i="3"/>
  <c r="L32" i="3"/>
  <c r="L91" i="3"/>
  <c r="K63" i="3"/>
  <c r="K43" i="3"/>
  <c r="L29" i="3"/>
  <c r="L42" i="3"/>
  <c r="K137" i="3"/>
  <c r="L117" i="3"/>
  <c r="L16" i="3"/>
  <c r="K117" i="3"/>
  <c r="L120" i="3"/>
  <c r="L28" i="3"/>
  <c r="L79" i="3"/>
  <c r="K23" i="3"/>
  <c r="K61" i="3"/>
  <c r="J57" i="3"/>
  <c r="J112" i="3"/>
  <c r="L112" i="3" s="1"/>
  <c r="K16" i="3"/>
  <c r="K135" i="3"/>
  <c r="K17" i="3"/>
  <c r="K33" i="3"/>
  <c r="K89" i="3"/>
  <c r="K136" i="3"/>
  <c r="L23" i="3"/>
  <c r="L63" i="3"/>
  <c r="K28" i="3"/>
  <c r="K32" i="3"/>
  <c r="K91" i="3"/>
  <c r="L24" i="3"/>
  <c r="K54" i="3"/>
  <c r="K104" i="3"/>
  <c r="K79" i="3"/>
  <c r="K105" i="3"/>
  <c r="K138" i="3"/>
  <c r="K100" i="3"/>
  <c r="K40" i="3"/>
  <c r="K106" i="3"/>
  <c r="K72" i="3"/>
  <c r="L128" i="3"/>
  <c r="L44" i="3"/>
  <c r="L58" i="3"/>
  <c r="K73" i="3"/>
  <c r="L105" i="3"/>
  <c r="K58" i="3"/>
  <c r="K45" i="3"/>
  <c r="K129" i="3"/>
  <c r="K29" i="3"/>
  <c r="G22" i="5"/>
  <c r="H22" i="5"/>
  <c r="G7" i="5"/>
  <c r="F6" i="5"/>
  <c r="E6" i="5"/>
  <c r="G20" i="5"/>
  <c r="H13" i="5"/>
  <c r="H19" i="5"/>
  <c r="G19" i="5"/>
  <c r="D6" i="5"/>
  <c r="G11" i="5"/>
  <c r="H11" i="5"/>
  <c r="G10" i="5"/>
  <c r="G12" i="5"/>
  <c r="H9" i="5"/>
  <c r="G13" i="5"/>
  <c r="G15" i="5"/>
  <c r="J66" i="3"/>
  <c r="K19" i="3"/>
  <c r="H31" i="3"/>
  <c r="J47" i="3"/>
  <c r="J41" i="3"/>
  <c r="H47" i="3"/>
  <c r="H46" i="3" s="1"/>
  <c r="J31" i="3"/>
  <c r="H12" i="3"/>
  <c r="H41" i="3"/>
  <c r="I12" i="1"/>
  <c r="H12" i="1"/>
  <c r="H16" i="1" s="1"/>
  <c r="I15" i="1"/>
  <c r="H15" i="1"/>
  <c r="J15" i="1"/>
  <c r="J12" i="1"/>
  <c r="G26" i="1"/>
  <c r="H23" i="1"/>
  <c r="I23" i="1"/>
  <c r="J23" i="1"/>
  <c r="G23" i="1"/>
  <c r="J26" i="1"/>
  <c r="I26" i="1"/>
  <c r="H26" i="1"/>
  <c r="L26" i="1" l="1"/>
  <c r="L15" i="1"/>
  <c r="K134" i="3"/>
  <c r="K26" i="1"/>
  <c r="L12" i="1"/>
  <c r="J56" i="3"/>
  <c r="L56" i="3" s="1"/>
  <c r="K120" i="3"/>
  <c r="K66" i="3"/>
  <c r="K99" i="3"/>
  <c r="L99" i="3"/>
  <c r="L31" i="3"/>
  <c r="K31" i="3"/>
  <c r="L57" i="3"/>
  <c r="K57" i="3"/>
  <c r="K41" i="3"/>
  <c r="L41" i="3"/>
  <c r="K108" i="3"/>
  <c r="K107" i="3"/>
  <c r="J46" i="3"/>
  <c r="L46" i="3" s="1"/>
  <c r="L47" i="3"/>
  <c r="K47" i="3"/>
  <c r="L66" i="3"/>
  <c r="K67" i="3"/>
  <c r="J12" i="3"/>
  <c r="J11" i="3" s="1"/>
  <c r="K13" i="3"/>
  <c r="J115" i="3"/>
  <c r="K116" i="3"/>
  <c r="L116" i="3"/>
  <c r="K24" i="3"/>
  <c r="H6" i="5"/>
  <c r="G6" i="5"/>
  <c r="G9" i="5"/>
  <c r="H11" i="3"/>
  <c r="H10" i="3" s="1"/>
  <c r="G27" i="1"/>
  <c r="H27" i="1"/>
  <c r="I16" i="1"/>
  <c r="I27" i="1" s="1"/>
  <c r="J16" i="1"/>
  <c r="K15" i="1"/>
  <c r="J55" i="3" l="1"/>
  <c r="K46" i="3"/>
  <c r="K115" i="3"/>
  <c r="L115" i="3"/>
  <c r="J10" i="3"/>
  <c r="L10" i="3" s="1"/>
  <c r="L11" i="3"/>
  <c r="K12" i="3"/>
  <c r="L12" i="3"/>
  <c r="K11" i="3"/>
  <c r="K12" i="1"/>
  <c r="J27" i="1"/>
  <c r="K16" i="1"/>
  <c r="L16" i="1"/>
  <c r="L55" i="3" l="1"/>
  <c r="K10" i="3"/>
  <c r="K55" i="3"/>
  <c r="K56" i="3"/>
</calcChain>
</file>

<file path=xl/sharedStrings.xml><?xml version="1.0" encoding="utf-8"?>
<sst xmlns="http://schemas.openxmlformats.org/spreadsheetml/2006/main" count="427" uniqueCount="198">
  <si>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</si>
  <si>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</si>
  <si>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</si>
  <si>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</si>
  <si>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</si>
  <si>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</si>
  <si>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</si>
  <si>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</si>
  <si>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</si>
  <si>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</si>
  <si>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</si>
  <si>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</si>
  <si>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</si>
  <si>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</si>
  <si>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</si>
  <si>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</si>
  <si>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</si>
  <si>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</si>
  <si>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</si>
  <si>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</si>
  <si>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</si>
  <si>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</si>
  <si>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</si>
  <si>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</si>
  <si>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</si>
  <si>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</si>
  <si>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</si>
  <si>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</si>
  <si>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</si>
  <si>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</si>
  <si>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</si>
  <si>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</si>
  <si>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</si>
  <si>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</si>
  <si>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</si>
  <si>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</si>
  <si>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5=4/3*100</t>
  </si>
  <si>
    <t xml:space="preserve">UKUPNO PRIHODI </t>
  </si>
  <si>
    <t>UKUPNO RASHODI</t>
  </si>
  <si>
    <t>UKUPNO PRIHODI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</si>
  <si>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</si>
  <si>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</si>
  <si>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</si>
  <si>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</si>
  <si>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PRIHODA I RASHODA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</si>
  <si>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</si>
  <si>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</si>
  <si>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</si>
  <si>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</si>
  <si>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</si>
  <si>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</si>
  <si>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</si>
  <si>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</si>
  <si>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</si>
  <si>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</si>
  <si>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</si>
  <si>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</si>
  <si>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od međunarodnih organizacija te institucija i tijela EU</t>
  </si>
  <si>
    <t>Tekuće pomoći od institucija i tijela  EU</t>
  </si>
  <si>
    <t>Kapitalne pomoći od institucija i tijela  EU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</si>
  <si>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</si>
  <si>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</si>
  <si>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</si>
  <si>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</si>
  <si>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</si>
  <si>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</si>
  <si>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</si>
  <si>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</si>
  <si>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</si>
  <si>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</si>
  <si>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</si>
  <si>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</si>
  <si>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</si>
  <si>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</si>
  <si>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</si>
  <si>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</si>
  <si>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Prihodi iz proračuna</t>
  </si>
  <si>
    <t>Prihodi iz proračuna za financiranje redovne djelatnosti proračunskih korisnika</t>
  </si>
  <si>
    <t>Prihodi za financiranje rashoda poslovanja</t>
  </si>
  <si>
    <t>Kazne, upravne mjere i ostali prihodi</t>
  </si>
  <si>
    <t>Kazne i upravne mjere</t>
  </si>
  <si>
    <t>Ostale kazne</t>
  </si>
  <si>
    <t>Ostali prihodi</t>
  </si>
  <si>
    <t>Prihodi od prodaje prijevoznih sredstava</t>
  </si>
  <si>
    <t>Prijevozna sredstva u cestovnom prometu</t>
  </si>
  <si>
    <t>Prihodi od prodaje višegodišnjih nasada i osnovnog stada</t>
  </si>
  <si>
    <t>Osnovno stado</t>
  </si>
  <si>
    <t>Donacije od pravnih i fizičkih osoba izvan proračuna</t>
  </si>
  <si>
    <t>Tekuće donacije</t>
  </si>
  <si>
    <t>Kapitalne donacije</t>
  </si>
  <si>
    <t>Prijevozna sredstva u pomorskom i riječnom prometu</t>
  </si>
  <si>
    <t>Prihodi od prodaje postrojenja i opreme</t>
  </si>
  <si>
    <t>Uređaji, strojevi i oprema za ostale namjene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</si>
  <si>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</si>
  <si>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</si>
  <si>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</si>
  <si>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</si>
  <si>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</si>
  <si>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</si>
  <si>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</si>
  <si>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</si>
  <si>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</si>
  <si>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</si>
  <si>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</si>
  <si>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</si>
  <si>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</si>
  <si>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</si>
  <si>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</si>
  <si>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</si>
  <si>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</si>
  <si>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</si>
  <si>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</si>
  <si>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</si>
  <si>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</si>
  <si>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</si>
  <si>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</si>
  <si>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</si>
  <si>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</si>
  <si>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</si>
  <si>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</si>
  <si>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</si>
  <si>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</si>
  <si>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</si>
  <si>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</si>
  <si>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</si>
  <si>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</si>
  <si>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</si>
  <si>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</si>
  <si>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</si>
  <si>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</si>
  <si>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</si>
  <si>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</si>
  <si>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</si>
  <si>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</si>
  <si>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</si>
  <si>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</si>
  <si>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</si>
  <si>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</si>
  <si>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</si>
  <si>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</si>
  <si>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</si>
  <si>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</si>
  <si>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</si>
  <si>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</si>
  <si>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</si>
  <si>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</si>
  <si>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Prijevozna sredstva</t>
  </si>
  <si>
    <t>Rashodi za dodatna ulaganja na nefinancijskoj imovini</t>
  </si>
  <si>
    <t>Dodatna ulaganja na građevinskim objektima</t>
  </si>
  <si>
    <t>Dodatna ulaganja na postrojenjima i opremi</t>
  </si>
  <si>
    <t>4  Prihodi posebne namjene</t>
  </si>
  <si>
    <t>43 Ostali prihodi za posebne namjene</t>
  </si>
  <si>
    <t>5  Pomoći</t>
  </si>
  <si>
    <t>51 Pomoći EU</t>
  </si>
  <si>
    <t>52 Ostale pomoći</t>
  </si>
  <si>
    <t>56 Fondovi EU</t>
  </si>
  <si>
    <t>7 Prihodi od prodaje ili zamjene nefinancijske imovine i naknade s osnova osiguranja</t>
  </si>
  <si>
    <t>71 Prihodi od prodaje ili zamjene nefinancijske imovine i naknade s osnova osiguranja</t>
  </si>
  <si>
    <t>6 Donacije</t>
  </si>
  <si>
    <t>61 Donacije</t>
  </si>
  <si>
    <t>05 Zaštita okoliša</t>
  </si>
  <si>
    <t>054 Zaštita bioraznolikosti i krajolika</t>
  </si>
  <si>
    <t>JAVNA USTANOVA NACIONALNI PARK BRIJUNI</t>
  </si>
  <si>
    <t>Opći prihodi i primici</t>
  </si>
  <si>
    <t>Vlastiti prihodi</t>
  </si>
  <si>
    <t>Ostali prihodi za posebne namjene</t>
  </si>
  <si>
    <t>Ostale pomoći</t>
  </si>
  <si>
    <t>Donacije</t>
  </si>
  <si>
    <t>Prihodi od nefinancijske imovine i naknade štete s osnova osiguranja</t>
  </si>
  <si>
    <t>Program:Zaštita prirode</t>
  </si>
  <si>
    <t>A779000</t>
  </si>
  <si>
    <t>Aktivnost: ADMINISTRACIJA I UPRAVLJANJE</t>
  </si>
  <si>
    <t>Izvor 11</t>
  </si>
  <si>
    <t>A779047</t>
  </si>
  <si>
    <t>Izvor 31</t>
  </si>
  <si>
    <t>Izvor 43</t>
  </si>
  <si>
    <t>Ostali rashodi</t>
  </si>
  <si>
    <t>Izvor 52</t>
  </si>
  <si>
    <t>Izvor 61</t>
  </si>
  <si>
    <t>Prihodi od prodaje ili zamjene nefinancijske imovine i naknade s naslova osiguranja</t>
  </si>
  <si>
    <t>Izvor 71</t>
  </si>
  <si>
    <t>Aktivnost: ADMINISTRACIJA I UPRAVLJANJE (IZ EVIDENCIJSKIH PRIHODA)</t>
  </si>
  <si>
    <t xml:space="preserve">OSTVARENJE/IZVRŠENJE 
1.-6.2024. </t>
  </si>
  <si>
    <t xml:space="preserve">OSTVARENJE/ IZVRŠENJE 
1.-6.2024. </t>
  </si>
  <si>
    <t>IZVORNI PLAN ILI REBALANS 2024.*</t>
  </si>
  <si>
    <t xml:space="preserve"> IZVRŠENJE 
1.-6.2024. </t>
  </si>
  <si>
    <t>Oprema za ostale namjene</t>
  </si>
  <si>
    <t>Prihodi od zateznih kamata</t>
  </si>
  <si>
    <t>Umjetnička djela</t>
  </si>
  <si>
    <t>Umjetnička djela (izložena u galerijama, muzejima i sl.)</t>
  </si>
  <si>
    <t>Umjetnička djela(izložena u galerijama, muzejima i sl.)</t>
  </si>
  <si>
    <t>IZVORNI PLAN 2024.</t>
  </si>
  <si>
    <t>5=4/2*100</t>
  </si>
  <si>
    <t>6=4/3*100</t>
  </si>
  <si>
    <t>IZVORNI PLAN 2024.*</t>
  </si>
  <si>
    <t>4=3/2*100</t>
  </si>
  <si>
    <t>IZVRŠENJE FINANCIJSKOG PLANA JAVNE USTANOVE NACIONALNI PARK BRIJUNI
ZA PRVO POLUGODIŠTE 2024. GODINE</t>
  </si>
  <si>
    <t>TEKUĆI PLAN 2024.*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</si>
</sst>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wrapText="1"/>
    </xf>
    <xf numFmtId="0" fontId="19" fillId="0" borderId="3" xfId="0" applyFont="1" applyBorder="1"/>
    <xf numFmtId="0" fontId="19" fillId="0" borderId="0" xfId="0" applyFont="1"/>
    <xf numFmtId="4" fontId="19" fillId="0" borderId="3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right"/>
    </xf>
    <xf numFmtId="4" fontId="0" fillId="4" borderId="3" xfId="0" applyNumberFormat="1" applyFill="1" applyBorder="1"/>
    <xf numFmtId="4" fontId="15" fillId="4" borderId="3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/>
    <xf numFmtId="0" fontId="8" fillId="5" borderId="3" xfId="0" applyFont="1" applyFill="1" applyBorder="1" applyAlignment="1">
      <alignment horizontal="left" vertical="center"/>
    </xf>
    <xf numFmtId="0" fontId="20" fillId="5" borderId="3" xfId="0" applyFont="1" applyFill="1" applyBorder="1"/>
    <xf numFmtId="4" fontId="5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/>
    <xf numFmtId="0" fontId="8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applyFont="1" applyFill="1" applyBorder="1"/>
    <xf numFmtId="4" fontId="8" fillId="5" borderId="3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0" fontId="20" fillId="4" borderId="0" xfId="0" applyFont="1" applyFill="1" applyAlignment="1">
      <alignment wrapText="1"/>
    </xf>
    <xf numFmtId="4" fontId="3" fillId="4" borderId="4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left" vertical="center" wrapText="1"/>
    </xf>
    <xf numFmtId="4" fontId="22" fillId="0" borderId="3" xfId="0" applyNumberFormat="1" applyFont="1" applyBorder="1"/>
    <xf numFmtId="4" fontId="19" fillId="5" borderId="3" xfId="0" applyNumberFormat="1" applyFont="1" applyFill="1" applyBorder="1"/>
    <xf numFmtId="4" fontId="19" fillId="4" borderId="3" xfId="0" applyNumberFormat="1" applyFont="1" applyFill="1" applyBorder="1"/>
    <xf numFmtId="0" fontId="5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wrapText="1"/>
    </xf>
    <xf numFmtId="0" fontId="14" fillId="3" borderId="1" xfId="0" quotePrefix="1" applyFont="1" applyFill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3" borderId="1" xfId="0" quotePrefix="1" applyFont="1" applyFill="1" applyBorder="1" applyAlignment="1">
      <alignment horizontal="center" vertical="center" wrapText="1"/>
    </xf>
    <xf numFmtId="0" fontId="14" fillId="3" borderId="2" xfId="0" quotePrefix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topLeftCell="B1" zoomScaleNormal="100" workbookViewId="0">
      <selection activeCell="N20" sqref="N20"/>
    </sheetView>
  </sheetViews>
  <sheetFormatPr defaultRowHeight="15" x14ac:dyDescent="0.25"/>
  <cols>
    <col min="6" max="7" width="25.28515625" customWidth="1"/>
    <col min="8" max="8" width="25.28515625" hidden="1" customWidth="1"/>
    <col min="9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2" t="s">
        <v>196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18"/>
    </row>
    <row r="2" spans="2:13" ht="18" customHeight="1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2"/>
    </row>
    <row r="3" spans="2:13" ht="15.75" customHeight="1" x14ac:dyDescent="0.25">
      <c r="B3" s="92" t="s">
        <v>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17"/>
    </row>
    <row r="4" spans="2:13" ht="18" x14ac:dyDescent="0.2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3"/>
    </row>
    <row r="5" spans="2:13" ht="18" customHeight="1" x14ac:dyDescent="0.25">
      <c r="B5" s="92" t="s">
        <v>43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16"/>
    </row>
    <row r="6" spans="2:13" ht="18" customHeight="1" x14ac:dyDescent="0.2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16"/>
    </row>
    <row r="7" spans="2:13" ht="18" customHeight="1" x14ac:dyDescent="0.25">
      <c r="B7" s="109" t="s">
        <v>56</v>
      </c>
      <c r="C7" s="109"/>
      <c r="D7" s="109"/>
      <c r="E7" s="109"/>
      <c r="F7" s="109"/>
      <c r="G7" s="33"/>
      <c r="H7" s="34"/>
      <c r="I7" s="34"/>
      <c r="J7" s="34"/>
      <c r="K7" s="35"/>
      <c r="L7" s="35"/>
    </row>
    <row r="8" spans="2:13" ht="25.5" x14ac:dyDescent="0.25">
      <c r="B8" s="103" t="s">
        <v>7</v>
      </c>
      <c r="C8" s="103"/>
      <c r="D8" s="103"/>
      <c r="E8" s="103"/>
      <c r="F8" s="103"/>
      <c r="G8" s="88" t="s">
        <v>45</v>
      </c>
      <c r="H8" s="88" t="s">
        <v>191</v>
      </c>
      <c r="I8" s="88" t="s">
        <v>191</v>
      </c>
      <c r="J8" s="88" t="s">
        <v>182</v>
      </c>
      <c r="K8" s="88" t="s">
        <v>20</v>
      </c>
      <c r="L8" s="88" t="s">
        <v>40</v>
      </c>
    </row>
    <row r="9" spans="2:13" x14ac:dyDescent="0.25">
      <c r="B9" s="104">
        <v>1</v>
      </c>
      <c r="C9" s="104"/>
      <c r="D9" s="104"/>
      <c r="E9" s="104"/>
      <c r="F9" s="105"/>
      <c r="G9" s="89">
        <v>2</v>
      </c>
      <c r="H9" s="25">
        <v>3</v>
      </c>
      <c r="I9" s="25">
        <v>3</v>
      </c>
      <c r="J9" s="25">
        <v>4</v>
      </c>
      <c r="K9" s="25" t="s">
        <v>192</v>
      </c>
      <c r="L9" s="25" t="s">
        <v>193</v>
      </c>
    </row>
    <row r="10" spans="2:13" x14ac:dyDescent="0.25">
      <c r="B10" s="99" t="s">
        <v>22</v>
      </c>
      <c r="C10" s="100"/>
      <c r="D10" s="100"/>
      <c r="E10" s="100"/>
      <c r="F10" s="101"/>
      <c r="G10" s="53">
        <v>3943424.96</v>
      </c>
      <c r="H10" s="53">
        <v>10990092</v>
      </c>
      <c r="I10" s="53">
        <v>10990092</v>
      </c>
      <c r="J10" s="53">
        <v>4026475.46</v>
      </c>
      <c r="K10" s="53">
        <f t="shared" ref="K10:K16" si="0">J10/G10*100</f>
        <v>102.1060499652566</v>
      </c>
      <c r="L10" s="53">
        <f>J10/I10*100</f>
        <v>36.637322599301257</v>
      </c>
    </row>
    <row r="11" spans="2:13" x14ac:dyDescent="0.25">
      <c r="B11" s="102" t="s">
        <v>21</v>
      </c>
      <c r="C11" s="101"/>
      <c r="D11" s="101"/>
      <c r="E11" s="101"/>
      <c r="F11" s="101"/>
      <c r="G11" s="53">
        <v>3177.18</v>
      </c>
      <c r="H11" s="53">
        <v>80000</v>
      </c>
      <c r="I11" s="53">
        <v>80000</v>
      </c>
      <c r="J11" s="53">
        <v>800</v>
      </c>
      <c r="K11" s="53">
        <f t="shared" si="0"/>
        <v>25.179561749727746</v>
      </c>
      <c r="L11" s="53">
        <f>J11/I11*100</f>
        <v>1</v>
      </c>
    </row>
    <row r="12" spans="2:13" x14ac:dyDescent="0.25">
      <c r="B12" s="96" t="s">
        <v>0</v>
      </c>
      <c r="C12" s="97"/>
      <c r="D12" s="97"/>
      <c r="E12" s="97"/>
      <c r="F12" s="98"/>
      <c r="G12" s="40">
        <f>SUM(G10:G11)</f>
        <v>3946602.14</v>
      </c>
      <c r="H12" s="40">
        <f>SUM(H10:H11)</f>
        <v>11070092</v>
      </c>
      <c r="I12" s="40">
        <f>SUM(I10:I11)</f>
        <v>11070092</v>
      </c>
      <c r="J12" s="40">
        <f>SUM(J10:J11)</f>
        <v>4027275.46</v>
      </c>
      <c r="K12" s="55">
        <f t="shared" si="0"/>
        <v>102.04412092068647</v>
      </c>
      <c r="L12" s="55">
        <f>J12/I12*100</f>
        <v>36.379783112913607</v>
      </c>
    </row>
    <row r="13" spans="2:13" x14ac:dyDescent="0.25">
      <c r="B13" s="108" t="s">
        <v>23</v>
      </c>
      <c r="C13" s="100"/>
      <c r="D13" s="100"/>
      <c r="E13" s="100"/>
      <c r="F13" s="100"/>
      <c r="G13" s="53">
        <v>4482309.66</v>
      </c>
      <c r="H13" s="53">
        <v>10591142</v>
      </c>
      <c r="I13" s="53">
        <v>10591142</v>
      </c>
      <c r="J13" s="53">
        <v>5977302.1699999999</v>
      </c>
      <c r="K13" s="56">
        <f t="shared" si="0"/>
        <v>133.35317332805604</v>
      </c>
      <c r="L13" s="56">
        <f t="shared" ref="L13:L14" si="1">J13/I13*100</f>
        <v>56.43680511506691</v>
      </c>
    </row>
    <row r="14" spans="2:13" x14ac:dyDescent="0.25">
      <c r="B14" s="102" t="s">
        <v>24</v>
      </c>
      <c r="C14" s="101"/>
      <c r="D14" s="101"/>
      <c r="E14" s="101"/>
      <c r="F14" s="101"/>
      <c r="G14" s="53">
        <v>220622.78</v>
      </c>
      <c r="H14" s="53">
        <v>474730</v>
      </c>
      <c r="I14" s="53">
        <v>474730</v>
      </c>
      <c r="J14" s="53">
        <v>225182.62</v>
      </c>
      <c r="K14" s="56">
        <f t="shared" si="0"/>
        <v>102.06680379968016</v>
      </c>
      <c r="L14" s="56">
        <f t="shared" si="1"/>
        <v>47.433829755861225</v>
      </c>
    </row>
    <row r="15" spans="2:13" x14ac:dyDescent="0.25">
      <c r="B15" s="12" t="s">
        <v>1</v>
      </c>
      <c r="C15" s="32"/>
      <c r="D15" s="32"/>
      <c r="E15" s="32"/>
      <c r="F15" s="32"/>
      <c r="G15" s="40">
        <f>SUM(G13:G14)</f>
        <v>4702932.4400000004</v>
      </c>
      <c r="H15" s="40">
        <f>SUM(H13:H14)</f>
        <v>11065872</v>
      </c>
      <c r="I15" s="40">
        <f>SUM(I13:I14)</f>
        <v>11065872</v>
      </c>
      <c r="J15" s="40">
        <f>SUM(J13:J14)</f>
        <v>6202484.79</v>
      </c>
      <c r="K15" s="55">
        <f t="shared" si="0"/>
        <v>131.88547505479366</v>
      </c>
      <c r="L15" s="55">
        <f>J15/I15*100</f>
        <v>56.050574143637299</v>
      </c>
    </row>
    <row r="16" spans="2:13" x14ac:dyDescent="0.25">
      <c r="B16" s="107" t="s">
        <v>2</v>
      </c>
      <c r="C16" s="97"/>
      <c r="D16" s="97"/>
      <c r="E16" s="97"/>
      <c r="F16" s="97"/>
      <c r="G16" s="41">
        <f t="shared" ref="G16" si="2">G12-G15</f>
        <v>-756330.30000000028</v>
      </c>
      <c r="H16" s="41">
        <f>H12-H15</f>
        <v>4220</v>
      </c>
      <c r="I16" s="41">
        <f>I12-I15</f>
        <v>4220</v>
      </c>
      <c r="J16" s="41">
        <f t="shared" ref="J16" si="3">J12-J15</f>
        <v>-2175209.33</v>
      </c>
      <c r="K16" s="55">
        <f t="shared" si="0"/>
        <v>287.60044784666161</v>
      </c>
      <c r="L16" s="55">
        <f>J16/I16*100</f>
        <v>-51545.244786729862</v>
      </c>
    </row>
    <row r="17" spans="1:49" ht="18" x14ac:dyDescent="0.25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"/>
    </row>
    <row r="18" spans="1:49" ht="18" customHeight="1" x14ac:dyDescent="0.25">
      <c r="B18" s="113" t="s">
        <v>50</v>
      </c>
      <c r="C18" s="113"/>
      <c r="D18" s="113"/>
      <c r="E18" s="113"/>
      <c r="F18" s="113"/>
      <c r="G18" s="33"/>
      <c r="H18" s="34"/>
      <c r="I18" s="34"/>
      <c r="J18" s="34"/>
      <c r="K18" s="35"/>
      <c r="L18" s="35"/>
      <c r="M18" s="1"/>
    </row>
    <row r="19" spans="1:49" ht="25.5" x14ac:dyDescent="0.25">
      <c r="B19" s="103" t="s">
        <v>7</v>
      </c>
      <c r="C19" s="103"/>
      <c r="D19" s="103"/>
      <c r="E19" s="103"/>
      <c r="F19" s="103"/>
      <c r="G19" s="88" t="s">
        <v>45</v>
      </c>
      <c r="H19" s="23" t="s">
        <v>42</v>
      </c>
      <c r="I19" s="88" t="s">
        <v>191</v>
      </c>
      <c r="J19" s="23" t="s">
        <v>182</v>
      </c>
      <c r="K19" s="23" t="s">
        <v>20</v>
      </c>
      <c r="L19" s="23" t="s">
        <v>40</v>
      </c>
    </row>
    <row r="20" spans="1:49" x14ac:dyDescent="0.25">
      <c r="B20" s="114">
        <v>1</v>
      </c>
      <c r="C20" s="115"/>
      <c r="D20" s="115"/>
      <c r="E20" s="115"/>
      <c r="F20" s="115"/>
      <c r="G20" s="90">
        <v>2</v>
      </c>
      <c r="H20" s="25">
        <v>3</v>
      </c>
      <c r="I20" s="25">
        <v>3</v>
      </c>
      <c r="J20" s="25">
        <v>4</v>
      </c>
      <c r="K20" s="25" t="s">
        <v>192</v>
      </c>
      <c r="L20" s="25" t="s">
        <v>193</v>
      </c>
    </row>
    <row r="21" spans="1:49" ht="15.75" customHeight="1" x14ac:dyDescent="0.25">
      <c r="B21" s="99" t="s">
        <v>25</v>
      </c>
      <c r="C21" s="116"/>
      <c r="D21" s="116"/>
      <c r="E21" s="116"/>
      <c r="F21" s="116"/>
      <c r="G21" s="20"/>
      <c r="H21" s="11"/>
      <c r="I21" s="11"/>
      <c r="J21" s="53"/>
      <c r="K21" s="53"/>
      <c r="L21" s="53"/>
    </row>
    <row r="22" spans="1:49" x14ac:dyDescent="0.25">
      <c r="B22" s="99" t="s">
        <v>26</v>
      </c>
      <c r="C22" s="100"/>
      <c r="D22" s="100"/>
      <c r="E22" s="100"/>
      <c r="F22" s="100"/>
      <c r="G22" s="19"/>
      <c r="H22" s="11"/>
      <c r="I22" s="11"/>
      <c r="J22" s="53"/>
      <c r="K22" s="53"/>
      <c r="L22" s="53"/>
    </row>
    <row r="23" spans="1:49" ht="15" customHeight="1" x14ac:dyDescent="0.25">
      <c r="B23" s="110" t="s">
        <v>41</v>
      </c>
      <c r="C23" s="111"/>
      <c r="D23" s="111"/>
      <c r="E23" s="111"/>
      <c r="F23" s="112"/>
      <c r="G23" s="40">
        <f>G21-G22</f>
        <v>0</v>
      </c>
      <c r="H23" s="40">
        <f t="shared" ref="H23:J23" si="4">H21-H22</f>
        <v>0</v>
      </c>
      <c r="I23" s="40">
        <f t="shared" si="4"/>
        <v>0</v>
      </c>
      <c r="J23" s="40">
        <f t="shared" si="4"/>
        <v>0</v>
      </c>
      <c r="K23" s="55"/>
      <c r="L23" s="55"/>
    </row>
    <row r="24" spans="1:49" s="24" customFormat="1" ht="15" customHeight="1" x14ac:dyDescent="0.25">
      <c r="A24"/>
      <c r="B24" s="99" t="s">
        <v>12</v>
      </c>
      <c r="C24" s="100"/>
      <c r="D24" s="100"/>
      <c r="E24" s="100"/>
      <c r="F24" s="100"/>
      <c r="G24" s="53">
        <v>5057794.68</v>
      </c>
      <c r="H24" s="53">
        <v>5066733</v>
      </c>
      <c r="I24" s="53">
        <v>5066733</v>
      </c>
      <c r="J24" s="53">
        <v>5023207.49</v>
      </c>
      <c r="K24" s="53">
        <f t="shared" ref="K24:K26" si="5">J24/G24*100</f>
        <v>99.3161606552206</v>
      </c>
      <c r="L24" s="53">
        <f t="shared" ref="L24:L26" si="6">J24/I24*100</f>
        <v>99.14095512828483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4" customFormat="1" ht="15" customHeight="1" x14ac:dyDescent="0.25">
      <c r="A25"/>
      <c r="B25" s="99" t="s">
        <v>49</v>
      </c>
      <c r="C25" s="100"/>
      <c r="D25" s="100"/>
      <c r="E25" s="100"/>
      <c r="F25" s="100"/>
      <c r="G25" s="53">
        <v>-4301464.38</v>
      </c>
      <c r="H25" s="53">
        <v>-5070953</v>
      </c>
      <c r="I25" s="53">
        <v>-5070953</v>
      </c>
      <c r="J25" s="53">
        <v>-2847998.16</v>
      </c>
      <c r="K25" s="53">
        <f t="shared" si="5"/>
        <v>66.209967313503597</v>
      </c>
      <c r="L25" s="53">
        <f t="shared" si="6"/>
        <v>56.162976860562509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1" customFormat="1" x14ac:dyDescent="0.25">
      <c r="A26" s="30"/>
      <c r="B26" s="110" t="s">
        <v>51</v>
      </c>
      <c r="C26" s="111"/>
      <c r="D26" s="111"/>
      <c r="E26" s="111"/>
      <c r="F26" s="112"/>
      <c r="G26" s="40">
        <f>G24+G25</f>
        <v>756330.29999999981</v>
      </c>
      <c r="H26" s="40">
        <f t="shared" ref="H26" si="7">H24+H25</f>
        <v>-4220</v>
      </c>
      <c r="I26" s="40">
        <f t="shared" ref="I26" si="8">I24+I25</f>
        <v>-4220</v>
      </c>
      <c r="J26" s="40">
        <f t="shared" ref="J26" si="9">J24+J25</f>
        <v>2175209.33</v>
      </c>
      <c r="K26" s="55">
        <f t="shared" si="5"/>
        <v>287.60044784666178</v>
      </c>
      <c r="L26" s="55">
        <f t="shared" si="6"/>
        <v>-51545.244786729862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</row>
    <row r="27" spans="1:49" x14ac:dyDescent="0.25">
      <c r="B27" s="106" t="s">
        <v>52</v>
      </c>
      <c r="C27" s="106"/>
      <c r="D27" s="106"/>
      <c r="E27" s="106"/>
      <c r="F27" s="106"/>
      <c r="G27" s="42">
        <f>G16+G26</f>
        <v>0</v>
      </c>
      <c r="H27" s="42">
        <f t="shared" ref="H27:J27" si="10">H16+H26</f>
        <v>0</v>
      </c>
      <c r="I27" s="42">
        <f t="shared" si="10"/>
        <v>0</v>
      </c>
      <c r="J27" s="42">
        <f t="shared" si="10"/>
        <v>0</v>
      </c>
      <c r="K27" s="55"/>
      <c r="L27" s="55"/>
    </row>
    <row r="29" spans="1:49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49" hidden="1" x14ac:dyDescent="0.25">
      <c r="B30" s="94" t="s">
        <v>53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49" ht="15" hidden="1" customHeight="1" x14ac:dyDescent="0.25">
      <c r="B31" s="94" t="s">
        <v>54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</row>
    <row r="32" spans="1:49" ht="15" hidden="1" customHeight="1" x14ac:dyDescent="0.25">
      <c r="B32" s="94" t="s">
        <v>46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2:12" ht="36.75" hidden="1" customHeight="1" x14ac:dyDescent="0.2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  <row r="34" spans="2:12" ht="15" hidden="1" customHeight="1" x14ac:dyDescent="0.25">
      <c r="B34" s="95" t="s">
        <v>55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2:12" hidden="1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43"/>
  <sheetViews>
    <sheetView topLeftCell="A35" zoomScale="90" zoomScaleNormal="90" workbookViewId="0">
      <selection activeCell="G109" sqref="G10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7" width="21.42578125" customWidth="1"/>
    <col min="8" max="8" width="19.7109375" hidden="1" customWidth="1"/>
    <col min="9" max="9" width="19.7109375" customWidth="1"/>
    <col min="10" max="10" width="21.42578125" customWidth="1"/>
    <col min="11" max="11" width="12.85546875" customWidth="1"/>
    <col min="12" max="12" width="12.5703125" customWidth="1"/>
  </cols>
  <sheetData>
    <row r="1" spans="2:12" ht="18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2:12" ht="15.75" customHeight="1" x14ac:dyDescent="0.25">
      <c r="B2" s="92" t="s">
        <v>9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2:12" ht="1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2:12" ht="15.75" customHeight="1" x14ac:dyDescent="0.25">
      <c r="B4" s="92" t="s">
        <v>44</v>
      </c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2:12" ht="18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2:12" ht="15.75" customHeight="1" x14ac:dyDescent="0.25">
      <c r="B6" s="92" t="s">
        <v>33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2:12" ht="18" x14ac:dyDescent="0.25"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2:12" ht="45" customHeight="1" x14ac:dyDescent="0.25">
      <c r="B8" s="117" t="s">
        <v>7</v>
      </c>
      <c r="C8" s="118"/>
      <c r="D8" s="118"/>
      <c r="E8" s="118"/>
      <c r="F8" s="119"/>
      <c r="G8" s="23" t="s">
        <v>19</v>
      </c>
      <c r="H8" s="23" t="s">
        <v>184</v>
      </c>
      <c r="I8" s="23" t="s">
        <v>194</v>
      </c>
      <c r="J8" s="23" t="s">
        <v>183</v>
      </c>
      <c r="K8" s="23" t="s">
        <v>20</v>
      </c>
      <c r="L8" s="23" t="s">
        <v>40</v>
      </c>
    </row>
    <row r="9" spans="2:12" x14ac:dyDescent="0.25">
      <c r="B9" s="120">
        <v>1</v>
      </c>
      <c r="C9" s="121"/>
      <c r="D9" s="121"/>
      <c r="E9" s="121"/>
      <c r="F9" s="122"/>
      <c r="G9" s="25">
        <v>2</v>
      </c>
      <c r="H9" s="25">
        <v>3</v>
      </c>
      <c r="I9" s="25">
        <v>3</v>
      </c>
      <c r="J9" s="25">
        <v>4</v>
      </c>
      <c r="K9" s="25" t="s">
        <v>192</v>
      </c>
      <c r="L9" s="25" t="s">
        <v>193</v>
      </c>
    </row>
    <row r="10" spans="2:12" x14ac:dyDescent="0.25">
      <c r="B10" s="58"/>
      <c r="C10" s="58"/>
      <c r="D10" s="58"/>
      <c r="E10" s="58"/>
      <c r="F10" s="58" t="s">
        <v>39</v>
      </c>
      <c r="G10" s="62">
        <f>SUM(G11,G46)</f>
        <v>3946602.1399999997</v>
      </c>
      <c r="H10" s="59">
        <f>SUM(H11,H46)</f>
        <v>11070092</v>
      </c>
      <c r="I10" s="59">
        <f>SUM(I11,I46)</f>
        <v>11070092</v>
      </c>
      <c r="J10" s="62">
        <f>SUM(J11,J46)</f>
        <v>4027275.46</v>
      </c>
      <c r="K10" s="60">
        <f t="shared" ref="K10:K20" si="0">J10/G10*100</f>
        <v>102.04412092068648</v>
      </c>
      <c r="L10" s="60">
        <f>J10/I10*100</f>
        <v>36.379783112913607</v>
      </c>
    </row>
    <row r="11" spans="2:12" x14ac:dyDescent="0.25">
      <c r="B11" s="66">
        <v>6</v>
      </c>
      <c r="C11" s="66"/>
      <c r="D11" s="66"/>
      <c r="E11" s="66"/>
      <c r="F11" s="66" t="s">
        <v>3</v>
      </c>
      <c r="G11" s="67">
        <f>SUM(G12,G23,G28,G31,G38,G41)</f>
        <v>3943424.9599999995</v>
      </c>
      <c r="H11" s="67">
        <f>SUM(H12,H23,H28,H31,H38,H41)</f>
        <v>10990092</v>
      </c>
      <c r="I11" s="67">
        <f>SUM(I12,I23,I28,I31,I38,I41)</f>
        <v>10990092</v>
      </c>
      <c r="J11" s="67">
        <f>SUM(J12,J23,J28,J31,J38,J41)</f>
        <v>4026475.46</v>
      </c>
      <c r="K11" s="86">
        <f t="shared" si="0"/>
        <v>102.1060499652566</v>
      </c>
      <c r="L11" s="86">
        <f>J11/I11*100</f>
        <v>36.637322599301257</v>
      </c>
    </row>
    <row r="12" spans="2:12" ht="25.5" x14ac:dyDescent="0.25">
      <c r="B12" s="4"/>
      <c r="C12" s="4">
        <v>63</v>
      </c>
      <c r="D12" s="7"/>
      <c r="E12" s="7"/>
      <c r="F12" s="7" t="s">
        <v>11</v>
      </c>
      <c r="G12" s="45">
        <f>SUM(G13,G16,G19)</f>
        <v>85905.67</v>
      </c>
      <c r="H12" s="51">
        <f>SUM(H13,H16,H19)</f>
        <v>475487</v>
      </c>
      <c r="I12" s="51">
        <f>SUM(I13,I16,I19)</f>
        <v>475487</v>
      </c>
      <c r="J12" s="45">
        <f>SUM(J13,J16,J19)</f>
        <v>232232.57</v>
      </c>
      <c r="K12" s="45">
        <f t="shared" si="0"/>
        <v>270.33439119909082</v>
      </c>
      <c r="L12" s="45">
        <f>J12/I12*100</f>
        <v>48.840992498217616</v>
      </c>
    </row>
    <row r="13" spans="2:12" x14ac:dyDescent="0.25">
      <c r="B13" s="5"/>
      <c r="C13" s="5"/>
      <c r="D13" s="5">
        <v>632</v>
      </c>
      <c r="E13" s="5"/>
      <c r="F13" s="43" t="s">
        <v>57</v>
      </c>
      <c r="G13" s="45">
        <f>SUM(G14:G15)</f>
        <v>43505.09</v>
      </c>
      <c r="H13" s="51">
        <f>SUM(H14:H15)</f>
        <v>0</v>
      </c>
      <c r="I13" s="51">
        <f>SUM(I14:I15)</f>
        <v>0</v>
      </c>
      <c r="J13" s="51">
        <f>SUM(J14:J15)</f>
        <v>0</v>
      </c>
      <c r="K13" s="45">
        <f t="shared" si="0"/>
        <v>0</v>
      </c>
      <c r="L13" s="45"/>
    </row>
    <row r="14" spans="2:12" x14ac:dyDescent="0.25">
      <c r="B14" s="5"/>
      <c r="C14" s="5"/>
      <c r="D14" s="5"/>
      <c r="E14" s="5">
        <v>6323</v>
      </c>
      <c r="F14" s="43" t="s">
        <v>58</v>
      </c>
      <c r="G14" s="45">
        <v>43189.599999999999</v>
      </c>
      <c r="H14" s="51">
        <v>0</v>
      </c>
      <c r="I14" s="51">
        <v>0</v>
      </c>
      <c r="J14" s="45"/>
      <c r="K14" s="45">
        <f t="shared" si="0"/>
        <v>0</v>
      </c>
      <c r="L14" s="45"/>
    </row>
    <row r="15" spans="2:12" x14ac:dyDescent="0.25">
      <c r="B15" s="5"/>
      <c r="C15" s="5"/>
      <c r="D15" s="5"/>
      <c r="E15" s="5">
        <v>6324</v>
      </c>
      <c r="F15" s="43" t="s">
        <v>59</v>
      </c>
      <c r="G15" s="45">
        <v>315.49</v>
      </c>
      <c r="H15" s="51">
        <v>0</v>
      </c>
      <c r="I15" s="51">
        <v>0</v>
      </c>
      <c r="J15" s="45"/>
      <c r="K15" s="45">
        <f t="shared" si="0"/>
        <v>0</v>
      </c>
      <c r="L15" s="45"/>
    </row>
    <row r="16" spans="2:12" x14ac:dyDescent="0.25">
      <c r="B16" s="5"/>
      <c r="C16" s="5"/>
      <c r="D16" s="5">
        <v>634</v>
      </c>
      <c r="E16" s="5"/>
      <c r="F16" s="43" t="s">
        <v>60</v>
      </c>
      <c r="G16" s="45">
        <f>SUM(G17:G18)</f>
        <v>23413.86</v>
      </c>
      <c r="H16" s="51">
        <f>SUM(H17:H18)</f>
        <v>384787</v>
      </c>
      <c r="I16" s="51">
        <f>SUM(I17:I18)</f>
        <v>384787</v>
      </c>
      <c r="J16" s="45">
        <f>SUM(J17:J18)</f>
        <v>220909.74000000002</v>
      </c>
      <c r="K16" s="45">
        <f t="shared" si="0"/>
        <v>943.49987571464078</v>
      </c>
      <c r="L16" s="45">
        <f>J16/I16*100</f>
        <v>57.410915649437221</v>
      </c>
    </row>
    <row r="17" spans="2:12" x14ac:dyDescent="0.25">
      <c r="B17" s="5"/>
      <c r="C17" s="5"/>
      <c r="D17" s="5"/>
      <c r="E17" s="5">
        <v>6341</v>
      </c>
      <c r="F17" s="43" t="s">
        <v>61</v>
      </c>
      <c r="G17" s="45">
        <v>23413.86</v>
      </c>
      <c r="H17" s="51">
        <v>381107</v>
      </c>
      <c r="I17" s="51">
        <v>381107</v>
      </c>
      <c r="J17" s="45">
        <v>219500.48</v>
      </c>
      <c r="K17" s="45">
        <f t="shared" si="0"/>
        <v>937.4809621309771</v>
      </c>
      <c r="L17" s="45">
        <f>J17/I17*100</f>
        <v>57.595499426670202</v>
      </c>
    </row>
    <row r="18" spans="2:12" x14ac:dyDescent="0.25">
      <c r="B18" s="5"/>
      <c r="C18" s="5"/>
      <c r="D18" s="5"/>
      <c r="E18" s="5">
        <v>6342</v>
      </c>
      <c r="F18" s="43" t="s">
        <v>62</v>
      </c>
      <c r="G18" s="45"/>
      <c r="H18" s="51">
        <v>3680</v>
      </c>
      <c r="I18" s="51">
        <v>3680</v>
      </c>
      <c r="J18" s="45">
        <v>1409.26</v>
      </c>
      <c r="K18" s="45"/>
      <c r="L18" s="45"/>
    </row>
    <row r="19" spans="2:12" x14ac:dyDescent="0.25">
      <c r="B19" s="5"/>
      <c r="C19" s="5"/>
      <c r="D19" s="5">
        <v>639</v>
      </c>
      <c r="E19" s="5"/>
      <c r="F19" s="43" t="s">
        <v>63</v>
      </c>
      <c r="G19" s="45">
        <f>SUM(G20:G22)</f>
        <v>18986.72</v>
      </c>
      <c r="H19" s="51">
        <f>SUM(H20:H22)</f>
        <v>90700</v>
      </c>
      <c r="I19" s="51">
        <f>SUM(I20:I22)</f>
        <v>90700</v>
      </c>
      <c r="J19" s="45">
        <f>SUM(J20:J22)</f>
        <v>11322.83</v>
      </c>
      <c r="K19" s="45">
        <f t="shared" si="0"/>
        <v>59.635524197965729</v>
      </c>
      <c r="L19" s="45">
        <f t="shared" ref="L19:L25" si="1">J19/I19*100</f>
        <v>12.483825799338479</v>
      </c>
    </row>
    <row r="20" spans="2:12" x14ac:dyDescent="0.25">
      <c r="B20" s="5"/>
      <c r="C20" s="5"/>
      <c r="D20" s="5"/>
      <c r="E20" s="5">
        <v>6391</v>
      </c>
      <c r="F20" s="43" t="s">
        <v>64</v>
      </c>
      <c r="G20" s="45">
        <v>1414.39</v>
      </c>
      <c r="H20" s="51">
        <v>46700</v>
      </c>
      <c r="I20" s="51">
        <v>46700</v>
      </c>
      <c r="J20" s="45">
        <v>1683.56</v>
      </c>
      <c r="K20" s="45">
        <f t="shared" si="0"/>
        <v>119.03081893961354</v>
      </c>
      <c r="L20" s="45">
        <f t="shared" si="1"/>
        <v>3.6050535331905782</v>
      </c>
    </row>
    <row r="21" spans="2:12" x14ac:dyDescent="0.25">
      <c r="B21" s="5"/>
      <c r="C21" s="5"/>
      <c r="D21" s="5"/>
      <c r="E21" s="5">
        <v>6392</v>
      </c>
      <c r="F21" s="43" t="s">
        <v>65</v>
      </c>
      <c r="G21" s="45"/>
      <c r="H21" s="51">
        <v>44000</v>
      </c>
      <c r="I21" s="51">
        <v>44000</v>
      </c>
      <c r="J21" s="45"/>
      <c r="K21" s="45"/>
      <c r="L21" s="45">
        <f t="shared" si="1"/>
        <v>0</v>
      </c>
    </row>
    <row r="22" spans="2:12" x14ac:dyDescent="0.25">
      <c r="B22" s="5"/>
      <c r="C22" s="5"/>
      <c r="D22" s="5"/>
      <c r="E22" s="5">
        <v>6393</v>
      </c>
      <c r="F22" s="43" t="s">
        <v>66</v>
      </c>
      <c r="G22" s="45">
        <v>17572.330000000002</v>
      </c>
      <c r="H22" s="51">
        <v>0</v>
      </c>
      <c r="I22" s="51">
        <v>0</v>
      </c>
      <c r="J22" s="45">
        <v>9639.27</v>
      </c>
      <c r="K22" s="45">
        <f>J22/G22*100</f>
        <v>54.854820049475506</v>
      </c>
      <c r="L22" s="45"/>
    </row>
    <row r="23" spans="2:12" x14ac:dyDescent="0.25">
      <c r="B23" s="5"/>
      <c r="C23" s="10">
        <v>64</v>
      </c>
      <c r="D23" s="5"/>
      <c r="E23" s="5"/>
      <c r="F23" s="43" t="s">
        <v>67</v>
      </c>
      <c r="G23" s="45">
        <f>SUM(G24)</f>
        <v>90.16</v>
      </c>
      <c r="H23" s="51">
        <f>SUM(H24)</f>
        <v>1150</v>
      </c>
      <c r="I23" s="51">
        <f>SUM(I24)</f>
        <v>1150</v>
      </c>
      <c r="J23" s="45">
        <f>SUM(J24)</f>
        <v>727.87</v>
      </c>
      <c r="K23" s="45">
        <f>J23/G23*100</f>
        <v>807.30922803904173</v>
      </c>
      <c r="L23" s="45">
        <f t="shared" si="1"/>
        <v>63.29304347826087</v>
      </c>
    </row>
    <row r="24" spans="2:12" x14ac:dyDescent="0.25">
      <c r="B24" s="5"/>
      <c r="C24" s="10"/>
      <c r="D24" s="5">
        <v>641</v>
      </c>
      <c r="E24" s="5"/>
      <c r="F24" s="43" t="s">
        <v>68</v>
      </c>
      <c r="G24" s="45">
        <f>SUM(G25:G27)</f>
        <v>90.16</v>
      </c>
      <c r="H24" s="51">
        <f>SUM(H25:H27)</f>
        <v>1150</v>
      </c>
      <c r="I24" s="51">
        <f>SUM(I25:I27)</f>
        <v>1150</v>
      </c>
      <c r="J24" s="45">
        <f>SUM(J25:J27)</f>
        <v>727.87</v>
      </c>
      <c r="K24" s="45">
        <f>J24/G24*100</f>
        <v>807.30922803904173</v>
      </c>
      <c r="L24" s="45">
        <f t="shared" si="1"/>
        <v>63.29304347826087</v>
      </c>
    </row>
    <row r="25" spans="2:12" x14ac:dyDescent="0.25">
      <c r="B25" s="5"/>
      <c r="C25" s="10"/>
      <c r="D25" s="5"/>
      <c r="E25" s="5">
        <v>6413</v>
      </c>
      <c r="F25" s="43" t="s">
        <v>69</v>
      </c>
      <c r="G25" s="45">
        <v>90.16</v>
      </c>
      <c r="H25" s="51">
        <v>1000</v>
      </c>
      <c r="I25" s="51">
        <v>1000</v>
      </c>
      <c r="J25" s="45">
        <v>119.79</v>
      </c>
      <c r="K25" s="45">
        <f>J25/G25*100</f>
        <v>132.86379769299026</v>
      </c>
      <c r="L25" s="45">
        <f t="shared" si="1"/>
        <v>11.979000000000001</v>
      </c>
    </row>
    <row r="26" spans="2:12" x14ac:dyDescent="0.25">
      <c r="B26" s="5"/>
      <c r="C26" s="10"/>
      <c r="D26" s="5"/>
      <c r="E26" s="5">
        <v>6414</v>
      </c>
      <c r="F26" s="43" t="s">
        <v>187</v>
      </c>
      <c r="G26" s="45"/>
      <c r="H26" s="51"/>
      <c r="I26" s="51"/>
      <c r="J26" s="45">
        <v>608.08000000000004</v>
      </c>
      <c r="K26" s="45"/>
      <c r="L26" s="45"/>
    </row>
    <row r="27" spans="2:12" x14ac:dyDescent="0.25">
      <c r="B27" s="5"/>
      <c r="C27" s="10"/>
      <c r="D27" s="5"/>
      <c r="E27" s="5">
        <v>6415</v>
      </c>
      <c r="F27" s="43" t="s">
        <v>70</v>
      </c>
      <c r="G27" s="45"/>
      <c r="H27" s="51">
        <v>150</v>
      </c>
      <c r="I27" s="51">
        <v>150</v>
      </c>
      <c r="J27" s="45"/>
      <c r="K27" s="45"/>
      <c r="L27" s="45">
        <f t="shared" ref="L27:L34" si="2">J27/I27*100</f>
        <v>0</v>
      </c>
    </row>
    <row r="28" spans="2:12" x14ac:dyDescent="0.25">
      <c r="B28" s="5"/>
      <c r="C28" s="10">
        <v>65</v>
      </c>
      <c r="D28" s="5"/>
      <c r="E28" s="5"/>
      <c r="F28" s="43" t="s">
        <v>71</v>
      </c>
      <c r="G28" s="45">
        <f>G29</f>
        <v>1596023.81</v>
      </c>
      <c r="H28" s="51">
        <f>H29</f>
        <v>4282500</v>
      </c>
      <c r="I28" s="51">
        <f>I29</f>
        <v>4282500</v>
      </c>
      <c r="J28" s="45">
        <f>J29</f>
        <v>1674241.31</v>
      </c>
      <c r="K28" s="45">
        <f t="shared" ref="K28:K34" si="3">J28/G28*100</f>
        <v>104.90077275225612</v>
      </c>
      <c r="L28" s="45">
        <f t="shared" si="2"/>
        <v>39.094951780502043</v>
      </c>
    </row>
    <row r="29" spans="2:12" x14ac:dyDescent="0.25">
      <c r="B29" s="5"/>
      <c r="C29" s="10"/>
      <c r="D29" s="5">
        <v>652</v>
      </c>
      <c r="E29" s="5"/>
      <c r="F29" s="43" t="s">
        <v>72</v>
      </c>
      <c r="G29" s="45">
        <f>SUM(G30)</f>
        <v>1596023.81</v>
      </c>
      <c r="H29" s="51">
        <f>SUM(H30)</f>
        <v>4282500</v>
      </c>
      <c r="I29" s="51">
        <f>SUM(I30)</f>
        <v>4282500</v>
      </c>
      <c r="J29" s="45">
        <f>SUM(J30)</f>
        <v>1674241.31</v>
      </c>
      <c r="K29" s="45">
        <f t="shared" si="3"/>
        <v>104.90077275225612</v>
      </c>
      <c r="L29" s="45">
        <f t="shared" si="2"/>
        <v>39.094951780502043</v>
      </c>
    </row>
    <row r="30" spans="2:12" x14ac:dyDescent="0.25">
      <c r="B30" s="5"/>
      <c r="C30" s="10"/>
      <c r="D30" s="5"/>
      <c r="E30" s="5">
        <v>6526</v>
      </c>
      <c r="F30" s="43" t="s">
        <v>73</v>
      </c>
      <c r="G30" s="45">
        <v>1596023.81</v>
      </c>
      <c r="H30" s="51">
        <v>4282500</v>
      </c>
      <c r="I30" s="51">
        <v>4282500</v>
      </c>
      <c r="J30" s="45">
        <v>1674241.31</v>
      </c>
      <c r="K30" s="45">
        <f t="shared" si="3"/>
        <v>104.90077275225612</v>
      </c>
      <c r="L30" s="45">
        <f t="shared" si="2"/>
        <v>39.094951780502043</v>
      </c>
    </row>
    <row r="31" spans="2:12" x14ac:dyDescent="0.25">
      <c r="B31" s="5"/>
      <c r="C31" s="10">
        <v>66</v>
      </c>
      <c r="D31" s="6"/>
      <c r="E31" s="6"/>
      <c r="F31" s="43" t="s">
        <v>74</v>
      </c>
      <c r="G31" s="45">
        <f>SUM(G32,G35)</f>
        <v>1988276.7499999998</v>
      </c>
      <c r="H31" s="51">
        <f>SUM(H32,H35)</f>
        <v>6205955</v>
      </c>
      <c r="I31" s="51">
        <f>SUM(I32,I35)</f>
        <v>6205955</v>
      </c>
      <c r="J31" s="45">
        <f>SUM(J32,J35)</f>
        <v>2113235.84</v>
      </c>
      <c r="K31" s="45">
        <f t="shared" si="3"/>
        <v>106.28479360330499</v>
      </c>
      <c r="L31" s="45">
        <f t="shared" si="2"/>
        <v>34.05174288244114</v>
      </c>
    </row>
    <row r="32" spans="2:12" x14ac:dyDescent="0.25">
      <c r="B32" s="5"/>
      <c r="C32" s="10"/>
      <c r="D32" s="6">
        <v>661</v>
      </c>
      <c r="E32" s="6"/>
      <c r="F32" s="43" t="s">
        <v>27</v>
      </c>
      <c r="G32" s="45">
        <f>SUM(G33:G34)</f>
        <v>1984754.0899999999</v>
      </c>
      <c r="H32" s="51">
        <f>SUM(H33:H34)</f>
        <v>6205955</v>
      </c>
      <c r="I32" s="51">
        <f>SUM(I33:I34)</f>
        <v>6205955</v>
      </c>
      <c r="J32" s="45">
        <f>SUM(J33:J34)</f>
        <v>2112541.94</v>
      </c>
      <c r="K32" s="45">
        <f t="shared" si="3"/>
        <v>106.43847268756605</v>
      </c>
      <c r="L32" s="45">
        <f t="shared" si="2"/>
        <v>34.040561686315804</v>
      </c>
    </row>
    <row r="33" spans="2:12" x14ac:dyDescent="0.25">
      <c r="B33" s="5"/>
      <c r="C33" s="10"/>
      <c r="D33" s="6"/>
      <c r="E33" s="6">
        <v>6614</v>
      </c>
      <c r="F33" s="43" t="s">
        <v>28</v>
      </c>
      <c r="G33" s="45">
        <v>34820.67</v>
      </c>
      <c r="H33" s="51">
        <v>95000</v>
      </c>
      <c r="I33" s="51">
        <v>95000</v>
      </c>
      <c r="J33" s="45">
        <v>42633.96</v>
      </c>
      <c r="K33" s="45">
        <f t="shared" si="3"/>
        <v>122.43865497131445</v>
      </c>
      <c r="L33" s="45">
        <f t="shared" si="2"/>
        <v>44.877852631578946</v>
      </c>
    </row>
    <row r="34" spans="2:12" x14ac:dyDescent="0.25">
      <c r="B34" s="5"/>
      <c r="C34" s="10"/>
      <c r="D34" s="6"/>
      <c r="E34" s="6">
        <v>6615</v>
      </c>
      <c r="F34" s="43" t="s">
        <v>75</v>
      </c>
      <c r="G34" s="45">
        <v>1949933.42</v>
      </c>
      <c r="H34" s="51">
        <v>6110955</v>
      </c>
      <c r="I34" s="51">
        <v>6110955</v>
      </c>
      <c r="J34" s="45">
        <v>2069907.98</v>
      </c>
      <c r="K34" s="45">
        <f t="shared" si="3"/>
        <v>106.1527516154885</v>
      </c>
      <c r="L34" s="45">
        <f t="shared" si="2"/>
        <v>33.872086768762003</v>
      </c>
    </row>
    <row r="35" spans="2:12" x14ac:dyDescent="0.25">
      <c r="B35" s="5"/>
      <c r="C35" s="10"/>
      <c r="D35" s="6">
        <v>663</v>
      </c>
      <c r="E35" s="6"/>
      <c r="F35" s="43" t="s">
        <v>87</v>
      </c>
      <c r="G35" s="45">
        <f>SUM(G36:G37)</f>
        <v>3522.66</v>
      </c>
      <c r="H35" s="51">
        <f>SUM(H36:H37)</f>
        <v>0</v>
      </c>
      <c r="I35" s="51">
        <f>SUM(I36:I37)</f>
        <v>0</v>
      </c>
      <c r="J35" s="45">
        <f>SUM(J36:J37)</f>
        <v>693.9</v>
      </c>
      <c r="K35" s="45">
        <f t="shared" ref="K35:K39" si="4">J35/G35*100</f>
        <v>19.698182623358484</v>
      </c>
      <c r="L35" s="45"/>
    </row>
    <row r="36" spans="2:12" x14ac:dyDescent="0.25">
      <c r="B36" s="5"/>
      <c r="C36" s="10"/>
      <c r="D36" s="6"/>
      <c r="E36" s="6">
        <v>6631</v>
      </c>
      <c r="F36" s="43" t="s">
        <v>88</v>
      </c>
      <c r="G36" s="45">
        <v>3522.66</v>
      </c>
      <c r="H36" s="51">
        <v>0</v>
      </c>
      <c r="I36" s="51">
        <v>0</v>
      </c>
      <c r="J36" s="45">
        <v>693.9</v>
      </c>
      <c r="K36" s="45">
        <f t="shared" si="4"/>
        <v>19.698182623358484</v>
      </c>
      <c r="L36" s="45"/>
    </row>
    <row r="37" spans="2:12" hidden="1" x14ac:dyDescent="0.25">
      <c r="B37" s="5"/>
      <c r="C37" s="10"/>
      <c r="D37" s="6"/>
      <c r="E37" s="6">
        <v>6632</v>
      </c>
      <c r="F37" s="43" t="s">
        <v>89</v>
      </c>
      <c r="G37" s="45"/>
      <c r="H37" s="51"/>
      <c r="I37" s="51"/>
      <c r="J37" s="45"/>
      <c r="K37" s="45" t="e">
        <f t="shared" si="4"/>
        <v>#DIV/0!</v>
      </c>
      <c r="L37" s="45"/>
    </row>
    <row r="38" spans="2:12" x14ac:dyDescent="0.25">
      <c r="B38" s="5"/>
      <c r="C38" s="10">
        <v>67</v>
      </c>
      <c r="D38" s="6"/>
      <c r="E38" s="6"/>
      <c r="F38" s="43" t="s">
        <v>76</v>
      </c>
      <c r="G38" s="45">
        <f t="shared" ref="G38:J39" si="5">SUM(G39)</f>
        <v>265446</v>
      </c>
      <c r="H38" s="51">
        <f t="shared" si="5"/>
        <v>0</v>
      </c>
      <c r="I38" s="51">
        <f t="shared" si="5"/>
        <v>0</v>
      </c>
      <c r="J38" s="45">
        <f t="shared" si="5"/>
        <v>0</v>
      </c>
      <c r="K38" s="45">
        <f t="shared" si="4"/>
        <v>0</v>
      </c>
      <c r="L38" s="45"/>
    </row>
    <row r="39" spans="2:12" x14ac:dyDescent="0.25">
      <c r="B39" s="5"/>
      <c r="C39" s="10"/>
      <c r="D39" s="6">
        <v>671</v>
      </c>
      <c r="E39" s="6"/>
      <c r="F39" s="43" t="s">
        <v>77</v>
      </c>
      <c r="G39" s="45">
        <f t="shared" si="5"/>
        <v>265446</v>
      </c>
      <c r="H39" s="51">
        <f t="shared" si="5"/>
        <v>0</v>
      </c>
      <c r="I39" s="51">
        <f t="shared" si="5"/>
        <v>0</v>
      </c>
      <c r="J39" s="45">
        <f t="shared" si="5"/>
        <v>0</v>
      </c>
      <c r="K39" s="45">
        <f t="shared" si="4"/>
        <v>0</v>
      </c>
      <c r="L39" s="45"/>
    </row>
    <row r="40" spans="2:12" x14ac:dyDescent="0.25">
      <c r="B40" s="5"/>
      <c r="C40" s="10"/>
      <c r="D40" s="6"/>
      <c r="E40" s="6">
        <v>6711</v>
      </c>
      <c r="F40" s="43" t="s">
        <v>78</v>
      </c>
      <c r="G40" s="45">
        <v>265446</v>
      </c>
      <c r="H40" s="51">
        <v>0</v>
      </c>
      <c r="I40" s="51">
        <v>0</v>
      </c>
      <c r="J40" s="45"/>
      <c r="K40" s="45">
        <f t="shared" ref="K40:K47" si="6">J40/G40*100</f>
        <v>0</v>
      </c>
      <c r="L40" s="45"/>
    </row>
    <row r="41" spans="2:12" x14ac:dyDescent="0.25">
      <c r="B41" s="5"/>
      <c r="C41" s="10">
        <v>68</v>
      </c>
      <c r="D41" s="6"/>
      <c r="E41" s="6"/>
      <c r="F41" s="43" t="s">
        <v>79</v>
      </c>
      <c r="G41" s="45">
        <f>SUM(G42,G44)</f>
        <v>7682.57</v>
      </c>
      <c r="H41" s="51">
        <f>SUM(H42,H44)</f>
        <v>25000</v>
      </c>
      <c r="I41" s="51">
        <f>SUM(I42,I44)</f>
        <v>25000</v>
      </c>
      <c r="J41" s="45">
        <f>SUM(J42,J44)</f>
        <v>6037.8700000000008</v>
      </c>
      <c r="K41" s="45">
        <f t="shared" si="6"/>
        <v>78.591799358808331</v>
      </c>
      <c r="L41" s="45">
        <f t="shared" ref="L41:L47" si="7">J41/I41*100</f>
        <v>24.151480000000003</v>
      </c>
    </row>
    <row r="42" spans="2:12" x14ac:dyDescent="0.25">
      <c r="B42" s="5"/>
      <c r="C42" s="10"/>
      <c r="D42" s="6">
        <v>681</v>
      </c>
      <c r="E42" s="6"/>
      <c r="F42" s="43" t="s">
        <v>80</v>
      </c>
      <c r="G42" s="45">
        <f>SUM(G43)</f>
        <v>100</v>
      </c>
      <c r="H42" s="51">
        <f>SUM(H43)</f>
        <v>10000</v>
      </c>
      <c r="I42" s="51">
        <f>SUM(I43)</f>
        <v>10000</v>
      </c>
      <c r="J42" s="45">
        <f>SUM(J43)</f>
        <v>464.52</v>
      </c>
      <c r="K42" s="45">
        <f t="shared" si="6"/>
        <v>464.52</v>
      </c>
      <c r="L42" s="45">
        <f t="shared" si="7"/>
        <v>4.6452</v>
      </c>
    </row>
    <row r="43" spans="2:12" x14ac:dyDescent="0.25">
      <c r="B43" s="5"/>
      <c r="C43" s="10"/>
      <c r="D43" s="6"/>
      <c r="E43" s="6">
        <v>6819</v>
      </c>
      <c r="F43" s="43" t="s">
        <v>81</v>
      </c>
      <c r="G43" s="45">
        <v>100</v>
      </c>
      <c r="H43" s="51">
        <v>10000</v>
      </c>
      <c r="I43" s="51">
        <v>10000</v>
      </c>
      <c r="J43" s="45">
        <v>464.52</v>
      </c>
      <c r="K43" s="45">
        <f t="shared" si="6"/>
        <v>464.52</v>
      </c>
      <c r="L43" s="45">
        <f t="shared" si="7"/>
        <v>4.6452</v>
      </c>
    </row>
    <row r="44" spans="2:12" x14ac:dyDescent="0.25">
      <c r="B44" s="5"/>
      <c r="C44" s="10"/>
      <c r="D44" s="6">
        <v>683</v>
      </c>
      <c r="E44" s="6"/>
      <c r="F44" s="43" t="s">
        <v>82</v>
      </c>
      <c r="G44" s="45">
        <f>SUM(G45)</f>
        <v>7582.57</v>
      </c>
      <c r="H44" s="51">
        <f>SUM(H45)</f>
        <v>15000</v>
      </c>
      <c r="I44" s="51">
        <f>SUM(I45)</f>
        <v>15000</v>
      </c>
      <c r="J44" s="45">
        <f>SUM(J45)</f>
        <v>5573.35</v>
      </c>
      <c r="K44" s="45">
        <f t="shared" si="6"/>
        <v>73.502123950059158</v>
      </c>
      <c r="L44" s="45">
        <f t="shared" si="7"/>
        <v>37.155666666666669</v>
      </c>
    </row>
    <row r="45" spans="2:12" x14ac:dyDescent="0.25">
      <c r="B45" s="5"/>
      <c r="C45" s="10"/>
      <c r="D45" s="6"/>
      <c r="E45" s="6">
        <v>6831</v>
      </c>
      <c r="F45" s="43" t="s">
        <v>82</v>
      </c>
      <c r="G45" s="45">
        <v>7582.57</v>
      </c>
      <c r="H45" s="51">
        <v>15000</v>
      </c>
      <c r="I45" s="51">
        <v>15000</v>
      </c>
      <c r="J45" s="45">
        <v>5573.35</v>
      </c>
      <c r="K45" s="45">
        <f t="shared" si="6"/>
        <v>73.502123950059158</v>
      </c>
      <c r="L45" s="45">
        <f t="shared" si="7"/>
        <v>37.155666666666669</v>
      </c>
    </row>
    <row r="46" spans="2:12" x14ac:dyDescent="0.25">
      <c r="B46" s="68">
        <v>7</v>
      </c>
      <c r="C46" s="69"/>
      <c r="D46" s="70"/>
      <c r="E46" s="70"/>
      <c r="F46" s="71" t="s">
        <v>17</v>
      </c>
      <c r="G46" s="72">
        <f>SUM(G47)</f>
        <v>3177.1800000000003</v>
      </c>
      <c r="H46" s="72">
        <f>SUM(H47)</f>
        <v>80000</v>
      </c>
      <c r="I46" s="72">
        <f>SUM(I47)</f>
        <v>80000</v>
      </c>
      <c r="J46" s="72">
        <f>SUM(J47)</f>
        <v>800</v>
      </c>
      <c r="K46" s="86">
        <f t="shared" si="6"/>
        <v>25.179561749727743</v>
      </c>
      <c r="L46" s="86">
        <f t="shared" si="7"/>
        <v>1</v>
      </c>
    </row>
    <row r="47" spans="2:12" ht="16.5" customHeight="1" x14ac:dyDescent="0.25">
      <c r="B47" s="5"/>
      <c r="C47" s="10">
        <v>72</v>
      </c>
      <c r="D47" s="6"/>
      <c r="E47" s="6"/>
      <c r="F47" s="43" t="s">
        <v>18</v>
      </c>
      <c r="G47" s="45">
        <f>SUM(G48,G50,G53)</f>
        <v>3177.1800000000003</v>
      </c>
      <c r="H47" s="51">
        <f>SUM(H48,H50,H53)</f>
        <v>80000</v>
      </c>
      <c r="I47" s="51">
        <f>SUM(I48,I50,I53)</f>
        <v>80000</v>
      </c>
      <c r="J47" s="45">
        <f>SUM(J48,J50,J53)</f>
        <v>800</v>
      </c>
      <c r="K47" s="45">
        <f t="shared" si="6"/>
        <v>25.179561749727743</v>
      </c>
      <c r="L47" s="45">
        <f t="shared" si="7"/>
        <v>1</v>
      </c>
    </row>
    <row r="48" spans="2:12" ht="17.25" customHeight="1" x14ac:dyDescent="0.25">
      <c r="B48" s="5"/>
      <c r="C48" s="5"/>
      <c r="D48" s="6">
        <v>722</v>
      </c>
      <c r="E48" s="6"/>
      <c r="F48" s="43" t="s">
        <v>91</v>
      </c>
      <c r="G48" s="45">
        <f>SUM(G49)</f>
        <v>1180</v>
      </c>
      <c r="H48" s="51">
        <f>SUM(H49)</f>
        <v>0</v>
      </c>
      <c r="I48" s="51">
        <f>SUM(I49)</f>
        <v>0</v>
      </c>
      <c r="J48" s="45">
        <f>SUM(J49)</f>
        <v>0</v>
      </c>
      <c r="K48" s="45"/>
      <c r="L48" s="45"/>
    </row>
    <row r="49" spans="2:12" ht="15.75" customHeight="1" x14ac:dyDescent="0.25">
      <c r="B49" s="5"/>
      <c r="C49" s="5"/>
      <c r="D49" s="6"/>
      <c r="E49" s="6">
        <v>7227</v>
      </c>
      <c r="F49" s="44" t="s">
        <v>92</v>
      </c>
      <c r="G49" s="45">
        <v>1180</v>
      </c>
      <c r="H49" s="51"/>
      <c r="I49" s="51"/>
      <c r="J49" s="45"/>
      <c r="K49" s="45"/>
      <c r="L49" s="45"/>
    </row>
    <row r="50" spans="2:12" x14ac:dyDescent="0.25">
      <c r="B50" s="5"/>
      <c r="C50" s="5"/>
      <c r="D50" s="5">
        <v>723</v>
      </c>
      <c r="E50" s="5"/>
      <c r="F50" s="43" t="s">
        <v>83</v>
      </c>
      <c r="G50" s="45">
        <f>SUM(G51)</f>
        <v>0</v>
      </c>
      <c r="H50" s="51">
        <f>SUM(H51:H52)</f>
        <v>60000</v>
      </c>
      <c r="I50" s="51">
        <f>SUM(I51:I52)</f>
        <v>60000</v>
      </c>
      <c r="J50" s="45">
        <f>SUM(J51)</f>
        <v>0</v>
      </c>
      <c r="K50" s="45"/>
      <c r="L50" s="45">
        <f>J50/I50*100</f>
        <v>0</v>
      </c>
    </row>
    <row r="51" spans="2:12" hidden="1" x14ac:dyDescent="0.25">
      <c r="B51" s="5"/>
      <c r="C51" s="5"/>
      <c r="D51" s="5"/>
      <c r="E51" s="5">
        <v>7231</v>
      </c>
      <c r="F51" s="43" t="s">
        <v>84</v>
      </c>
      <c r="G51" s="45"/>
      <c r="H51" s="51"/>
      <c r="I51" s="51"/>
      <c r="J51" s="45"/>
      <c r="K51" s="45"/>
      <c r="L51" s="45"/>
    </row>
    <row r="52" spans="2:12" x14ac:dyDescent="0.25">
      <c r="B52" s="5"/>
      <c r="C52" s="5"/>
      <c r="D52" s="5"/>
      <c r="E52" s="5">
        <v>7233</v>
      </c>
      <c r="F52" s="43" t="s">
        <v>90</v>
      </c>
      <c r="G52" s="45"/>
      <c r="H52" s="51">
        <v>60000</v>
      </c>
      <c r="I52" s="51">
        <v>60000</v>
      </c>
      <c r="J52" s="45"/>
      <c r="K52" s="45"/>
      <c r="L52" s="45">
        <f>J52/I52*100</f>
        <v>0</v>
      </c>
    </row>
    <row r="53" spans="2:12" x14ac:dyDescent="0.25">
      <c r="B53" s="5"/>
      <c r="C53" s="5"/>
      <c r="D53" s="5">
        <v>725</v>
      </c>
      <c r="E53" s="5"/>
      <c r="F53" s="43" t="s">
        <v>85</v>
      </c>
      <c r="G53" s="45">
        <f>SUM(G54)</f>
        <v>1997.18</v>
      </c>
      <c r="H53" s="51">
        <f>SUM(H54)</f>
        <v>20000</v>
      </c>
      <c r="I53" s="51">
        <f>SUM(I54)</f>
        <v>20000</v>
      </c>
      <c r="J53" s="45">
        <f>SUM(J54)</f>
        <v>800</v>
      </c>
      <c r="K53" s="45">
        <f>J53/G53*100</f>
        <v>40.056479636287165</v>
      </c>
      <c r="L53" s="45">
        <f>J53/I53*100</f>
        <v>4</v>
      </c>
    </row>
    <row r="54" spans="2:12" x14ac:dyDescent="0.25">
      <c r="B54" s="5"/>
      <c r="C54" s="5"/>
      <c r="D54" s="5"/>
      <c r="E54" s="5">
        <v>7252</v>
      </c>
      <c r="F54" s="43" t="s">
        <v>86</v>
      </c>
      <c r="G54" s="45">
        <v>1997.18</v>
      </c>
      <c r="H54" s="51">
        <v>20000</v>
      </c>
      <c r="I54" s="51">
        <v>20000</v>
      </c>
      <c r="J54" s="45">
        <v>800</v>
      </c>
      <c r="K54" s="45">
        <f>J54/G54*100</f>
        <v>40.056479636287165</v>
      </c>
      <c r="L54" s="45">
        <f>J54/I54*100</f>
        <v>4</v>
      </c>
    </row>
    <row r="55" spans="2:12" x14ac:dyDescent="0.25">
      <c r="B55" s="58"/>
      <c r="C55" s="58"/>
      <c r="D55" s="58"/>
      <c r="E55" s="58"/>
      <c r="F55" s="58" t="s">
        <v>38</v>
      </c>
      <c r="G55" s="59">
        <f>SUM(G56,G115)</f>
        <v>4702932.4400000004</v>
      </c>
      <c r="H55" s="59">
        <f>SUM(H56,H115)</f>
        <v>11065872</v>
      </c>
      <c r="I55" s="59">
        <f>SUM(I56,I115)</f>
        <v>11065872</v>
      </c>
      <c r="J55" s="59">
        <f>SUM(J56,J115)</f>
        <v>6202484.79</v>
      </c>
      <c r="K55" s="87">
        <f t="shared" ref="K55:K96" si="8">J55/G55*100</f>
        <v>131.88547505479366</v>
      </c>
      <c r="L55" s="87">
        <f t="shared" ref="L55:L99" si="9">J55/I55*100</f>
        <v>56.050574143637299</v>
      </c>
    </row>
    <row r="56" spans="2:12" x14ac:dyDescent="0.25">
      <c r="B56" s="66">
        <v>3</v>
      </c>
      <c r="C56" s="66"/>
      <c r="D56" s="66"/>
      <c r="E56" s="66"/>
      <c r="F56" s="66" t="s">
        <v>4</v>
      </c>
      <c r="G56" s="65">
        <f>SUM(G57,G66,G99,G104,G107,G112)</f>
        <v>4482309.66</v>
      </c>
      <c r="H56" s="65">
        <f>SUM(H57,H66,H99,H104,H107,H112)</f>
        <v>10591142</v>
      </c>
      <c r="I56" s="65">
        <f>SUM(I57,I66,I99,I104,I107,I112)</f>
        <v>10591142</v>
      </c>
      <c r="J56" s="65">
        <f>SUM(J57,J66,J99,J104,J107,J112)</f>
        <v>5977302.1699999999</v>
      </c>
      <c r="K56" s="86">
        <f t="shared" si="8"/>
        <v>133.35317332805604</v>
      </c>
      <c r="L56" s="86">
        <f t="shared" si="9"/>
        <v>56.43680511506691</v>
      </c>
    </row>
    <row r="57" spans="2:12" x14ac:dyDescent="0.25">
      <c r="B57" s="4"/>
      <c r="C57" s="4">
        <v>31</v>
      </c>
      <c r="D57" s="7"/>
      <c r="E57" s="7"/>
      <c r="F57" s="7" t="s">
        <v>5</v>
      </c>
      <c r="G57" s="51">
        <f t="shared" ref="G57" si="10">SUM(G58,G61,G63)</f>
        <v>2318655.37</v>
      </c>
      <c r="H57" s="51">
        <f t="shared" ref="H57:I57" si="11">SUM(H58,H61,H63)</f>
        <v>5310000</v>
      </c>
      <c r="I57" s="51">
        <f t="shared" si="11"/>
        <v>5310000</v>
      </c>
      <c r="J57" s="51">
        <f t="shared" ref="J57" si="12">SUM(J58,J61,J63)</f>
        <v>3545002.71</v>
      </c>
      <c r="K57" s="45">
        <f t="shared" si="8"/>
        <v>152.89045348727265</v>
      </c>
      <c r="L57" s="45">
        <f t="shared" si="9"/>
        <v>66.760879661016943</v>
      </c>
    </row>
    <row r="58" spans="2:12" x14ac:dyDescent="0.25">
      <c r="B58" s="5"/>
      <c r="C58" s="5"/>
      <c r="D58" s="5">
        <v>311</v>
      </c>
      <c r="E58" s="5"/>
      <c r="F58" s="5" t="s">
        <v>29</v>
      </c>
      <c r="G58" s="51">
        <f t="shared" ref="G58" si="13">SUM(G59:G60)</f>
        <v>1827380.1500000001</v>
      </c>
      <c r="H58" s="51">
        <f t="shared" ref="H58:I58" si="14">SUM(H59:H60)</f>
        <v>4210000</v>
      </c>
      <c r="I58" s="51">
        <f t="shared" si="14"/>
        <v>4210000</v>
      </c>
      <c r="J58" s="51">
        <f t="shared" ref="J58" si="15">SUM(J59:J60)</f>
        <v>2754215.4299999997</v>
      </c>
      <c r="K58" s="45">
        <f t="shared" si="8"/>
        <v>150.71934703898361</v>
      </c>
      <c r="L58" s="45">
        <f t="shared" si="9"/>
        <v>65.420794061757718</v>
      </c>
    </row>
    <row r="59" spans="2:12" x14ac:dyDescent="0.25">
      <c r="B59" s="5"/>
      <c r="C59" s="5"/>
      <c r="D59" s="5"/>
      <c r="E59" s="5">
        <v>3111</v>
      </c>
      <c r="F59" s="5" t="s">
        <v>30</v>
      </c>
      <c r="G59" s="45">
        <v>1781633.31</v>
      </c>
      <c r="H59" s="51">
        <v>4130000</v>
      </c>
      <c r="I59" s="51">
        <v>4130000</v>
      </c>
      <c r="J59" s="45">
        <f>2137220.46+562943.11</f>
        <v>2700163.57</v>
      </c>
      <c r="K59" s="45">
        <f t="shared" si="8"/>
        <v>151.5555167746611</v>
      </c>
      <c r="L59" s="45">
        <f t="shared" si="9"/>
        <v>65.379263196125905</v>
      </c>
    </row>
    <row r="60" spans="2:12" x14ac:dyDescent="0.25">
      <c r="B60" s="5"/>
      <c r="C60" s="5"/>
      <c r="D60" s="5"/>
      <c r="E60" s="5">
        <v>3113</v>
      </c>
      <c r="F60" s="43" t="s">
        <v>93</v>
      </c>
      <c r="G60" s="45">
        <v>45746.84</v>
      </c>
      <c r="H60" s="51">
        <v>80000</v>
      </c>
      <c r="I60" s="51">
        <v>80000</v>
      </c>
      <c r="J60" s="45">
        <v>54051.86</v>
      </c>
      <c r="K60" s="45">
        <f t="shared" si="8"/>
        <v>118.1543031168929</v>
      </c>
      <c r="L60" s="45">
        <f t="shared" si="9"/>
        <v>67.564825000000013</v>
      </c>
    </row>
    <row r="61" spans="2:12" x14ac:dyDescent="0.25">
      <c r="B61" s="5"/>
      <c r="C61" s="5"/>
      <c r="D61" s="5">
        <v>312</v>
      </c>
      <c r="E61" s="5"/>
      <c r="F61" s="43" t="s">
        <v>94</v>
      </c>
      <c r="G61" s="51">
        <f t="shared" ref="G61:J61" si="16">SUM(G62)</f>
        <v>181481.06</v>
      </c>
      <c r="H61" s="51">
        <f t="shared" si="16"/>
        <v>425000</v>
      </c>
      <c r="I61" s="51">
        <f t="shared" si="16"/>
        <v>425000</v>
      </c>
      <c r="J61" s="51">
        <f t="shared" si="16"/>
        <v>342162.75</v>
      </c>
      <c r="K61" s="45">
        <f t="shared" si="8"/>
        <v>188.53909603569653</v>
      </c>
      <c r="L61" s="45">
        <f t="shared" si="9"/>
        <v>80.508882352941185</v>
      </c>
    </row>
    <row r="62" spans="2:12" x14ac:dyDescent="0.25">
      <c r="B62" s="5"/>
      <c r="C62" s="5"/>
      <c r="D62" s="5"/>
      <c r="E62" s="5">
        <v>3121</v>
      </c>
      <c r="F62" s="43" t="s">
        <v>94</v>
      </c>
      <c r="G62" s="45">
        <v>181481.06</v>
      </c>
      <c r="H62" s="51">
        <v>425000</v>
      </c>
      <c r="I62" s="51">
        <v>425000</v>
      </c>
      <c r="J62" s="45">
        <v>342162.75</v>
      </c>
      <c r="K62" s="45">
        <f t="shared" si="8"/>
        <v>188.53909603569653</v>
      </c>
      <c r="L62" s="45">
        <f t="shared" si="9"/>
        <v>80.508882352941185</v>
      </c>
    </row>
    <row r="63" spans="2:12" x14ac:dyDescent="0.25">
      <c r="B63" s="5"/>
      <c r="C63" s="5"/>
      <c r="D63" s="5">
        <v>313</v>
      </c>
      <c r="E63" s="5"/>
      <c r="F63" s="43" t="s">
        <v>95</v>
      </c>
      <c r="G63" s="51">
        <f t="shared" ref="G63" si="17">SUM(G64:G65)</f>
        <v>309794.15999999997</v>
      </c>
      <c r="H63" s="51">
        <f t="shared" ref="H63:I63" si="18">SUM(H64:H65)</f>
        <v>675000</v>
      </c>
      <c r="I63" s="51">
        <f t="shared" si="18"/>
        <v>675000</v>
      </c>
      <c r="J63" s="51">
        <f t="shared" ref="J63" si="19">SUM(J64:J65)</f>
        <v>448624.53</v>
      </c>
      <c r="K63" s="45">
        <f t="shared" si="8"/>
        <v>144.81374665035651</v>
      </c>
      <c r="L63" s="45">
        <f t="shared" si="9"/>
        <v>66.462893333333341</v>
      </c>
    </row>
    <row r="64" spans="2:12" x14ac:dyDescent="0.25">
      <c r="B64" s="5"/>
      <c r="C64" s="5"/>
      <c r="D64" s="5"/>
      <c r="E64" s="5">
        <v>3131</v>
      </c>
      <c r="F64" s="43" t="s">
        <v>96</v>
      </c>
      <c r="G64" s="45">
        <v>25583.87</v>
      </c>
      <c r="H64" s="51">
        <v>35000</v>
      </c>
      <c r="I64" s="51">
        <v>35000</v>
      </c>
      <c r="J64" s="45">
        <v>25186.09</v>
      </c>
      <c r="K64" s="45">
        <f t="shared" si="8"/>
        <v>98.445192224632166</v>
      </c>
      <c r="L64" s="45">
        <f t="shared" si="9"/>
        <v>71.960257142857145</v>
      </c>
    </row>
    <row r="65" spans="2:12" x14ac:dyDescent="0.25">
      <c r="B65" s="5"/>
      <c r="C65" s="5"/>
      <c r="D65" s="5"/>
      <c r="E65" s="5">
        <v>3132</v>
      </c>
      <c r="F65" s="43" t="s">
        <v>97</v>
      </c>
      <c r="G65" s="45">
        <v>284210.28999999998</v>
      </c>
      <c r="H65" s="51">
        <v>640000</v>
      </c>
      <c r="I65" s="51">
        <v>640000</v>
      </c>
      <c r="J65" s="45">
        <v>423438.44</v>
      </c>
      <c r="K65" s="45">
        <f t="shared" si="8"/>
        <v>148.98772313979202</v>
      </c>
      <c r="L65" s="45">
        <f t="shared" si="9"/>
        <v>66.162256249999999</v>
      </c>
    </row>
    <row r="66" spans="2:12" x14ac:dyDescent="0.25">
      <c r="B66" s="5"/>
      <c r="C66" s="10">
        <v>32</v>
      </c>
      <c r="D66" s="6"/>
      <c r="E66" s="6"/>
      <c r="F66" s="5" t="s">
        <v>10</v>
      </c>
      <c r="G66" s="51">
        <f t="shared" ref="G66" si="20">SUM(G67,G72,G79,G89,G91)</f>
        <v>2158275.91</v>
      </c>
      <c r="H66" s="51">
        <f t="shared" ref="H66" si="21">SUM(H67,H72,H79,H89,H91)</f>
        <v>5137842</v>
      </c>
      <c r="I66" s="51">
        <f>SUM(I67,I72,I79,I89,I91)</f>
        <v>5137842</v>
      </c>
      <c r="J66" s="51">
        <f t="shared" ref="J66" si="22">SUM(J67,J72,J79,J89,J91)</f>
        <v>2427633.41</v>
      </c>
      <c r="K66" s="45">
        <f t="shared" si="8"/>
        <v>112.48021621109601</v>
      </c>
      <c r="L66" s="45">
        <f t="shared" si="9"/>
        <v>47.250059655396178</v>
      </c>
    </row>
    <row r="67" spans="2:12" x14ac:dyDescent="0.25">
      <c r="B67" s="5"/>
      <c r="C67" s="5"/>
      <c r="D67" s="5">
        <v>321</v>
      </c>
      <c r="E67" s="5"/>
      <c r="F67" s="5" t="s">
        <v>31</v>
      </c>
      <c r="G67" s="51">
        <f t="shared" ref="G67" si="23">SUM(G68:G71)</f>
        <v>97421.48</v>
      </c>
      <c r="H67" s="51">
        <f t="shared" ref="H67:I67" si="24">SUM(H68:H71)</f>
        <v>225700</v>
      </c>
      <c r="I67" s="51">
        <f t="shared" si="24"/>
        <v>225700</v>
      </c>
      <c r="J67" s="51">
        <f t="shared" ref="J67" si="25">SUM(J68:J71)</f>
        <v>119965.97</v>
      </c>
      <c r="K67" s="45">
        <f t="shared" si="8"/>
        <v>123.14119021800943</v>
      </c>
      <c r="L67" s="45">
        <f t="shared" si="9"/>
        <v>53.15284448382809</v>
      </c>
    </row>
    <row r="68" spans="2:12" x14ac:dyDescent="0.25">
      <c r="B68" s="5"/>
      <c r="C68" s="10"/>
      <c r="D68" s="5"/>
      <c r="E68" s="5">
        <v>3211</v>
      </c>
      <c r="F68" s="15" t="s">
        <v>32</v>
      </c>
      <c r="G68" s="45">
        <v>16691.98</v>
      </c>
      <c r="H68" s="51">
        <v>30000</v>
      </c>
      <c r="I68" s="51">
        <v>30000</v>
      </c>
      <c r="J68" s="45">
        <v>24220.91</v>
      </c>
      <c r="K68" s="45">
        <f t="shared" si="8"/>
        <v>145.10507441298157</v>
      </c>
      <c r="L68" s="45">
        <f t="shared" si="9"/>
        <v>80.736366666666669</v>
      </c>
    </row>
    <row r="69" spans="2:12" x14ac:dyDescent="0.25">
      <c r="B69" s="5"/>
      <c r="C69" s="10"/>
      <c r="D69" s="5"/>
      <c r="E69" s="5">
        <v>3212</v>
      </c>
      <c r="F69" s="43" t="s">
        <v>98</v>
      </c>
      <c r="G69" s="45">
        <v>70177.039999999994</v>
      </c>
      <c r="H69" s="51">
        <v>165000</v>
      </c>
      <c r="I69" s="51">
        <v>165000</v>
      </c>
      <c r="J69" s="45">
        <v>77940.77</v>
      </c>
      <c r="K69" s="45">
        <f t="shared" si="8"/>
        <v>111.06306279090713</v>
      </c>
      <c r="L69" s="45">
        <f t="shared" si="9"/>
        <v>47.236830303030303</v>
      </c>
    </row>
    <row r="70" spans="2:12" x14ac:dyDescent="0.25">
      <c r="B70" s="5"/>
      <c r="C70" s="10"/>
      <c r="D70" s="5"/>
      <c r="E70" s="5">
        <v>3213</v>
      </c>
      <c r="F70" s="43" t="s">
        <v>99</v>
      </c>
      <c r="G70" s="45">
        <v>9873.74</v>
      </c>
      <c r="H70" s="51">
        <v>30000</v>
      </c>
      <c r="I70" s="51">
        <v>30000</v>
      </c>
      <c r="J70" s="45">
        <v>17804.29</v>
      </c>
      <c r="K70" s="45">
        <f t="shared" si="8"/>
        <v>180.31961546485934</v>
      </c>
      <c r="L70" s="45">
        <f t="shared" si="9"/>
        <v>59.347633333333341</v>
      </c>
    </row>
    <row r="71" spans="2:12" x14ac:dyDescent="0.25">
      <c r="B71" s="5"/>
      <c r="C71" s="10"/>
      <c r="D71" s="5"/>
      <c r="E71" s="5">
        <v>3214</v>
      </c>
      <c r="F71" s="43" t="s">
        <v>100</v>
      </c>
      <c r="G71" s="45">
        <v>678.72</v>
      </c>
      <c r="H71" s="51">
        <v>700</v>
      </c>
      <c r="I71" s="51">
        <v>700</v>
      </c>
      <c r="J71" s="45">
        <v>0</v>
      </c>
      <c r="K71" s="45">
        <f t="shared" si="8"/>
        <v>0</v>
      </c>
      <c r="L71" s="45">
        <f t="shared" si="9"/>
        <v>0</v>
      </c>
    </row>
    <row r="72" spans="2:12" x14ac:dyDescent="0.25">
      <c r="B72" s="5"/>
      <c r="C72" s="10"/>
      <c r="D72" s="5">
        <v>322</v>
      </c>
      <c r="E72" s="5"/>
      <c r="F72" s="43" t="s">
        <v>101</v>
      </c>
      <c r="G72" s="51">
        <f t="shared" ref="G72" si="26">SUM(G73:G78)</f>
        <v>788947.74000000011</v>
      </c>
      <c r="H72" s="51">
        <f t="shared" ref="H72:I72" si="27">SUM(H73:H78)</f>
        <v>2225947</v>
      </c>
      <c r="I72" s="51">
        <f t="shared" si="27"/>
        <v>2225947</v>
      </c>
      <c r="J72" s="51">
        <f t="shared" ref="J72" si="28">SUM(J73:J78)</f>
        <v>761888.51000000013</v>
      </c>
      <c r="K72" s="45">
        <f t="shared" si="8"/>
        <v>96.570212622701732</v>
      </c>
      <c r="L72" s="45">
        <f t="shared" si="9"/>
        <v>34.227612337580368</v>
      </c>
    </row>
    <row r="73" spans="2:12" x14ac:dyDescent="0.25">
      <c r="B73" s="5"/>
      <c r="C73" s="10"/>
      <c r="D73" s="5"/>
      <c r="E73" s="5">
        <v>3221</v>
      </c>
      <c r="F73" s="43" t="s">
        <v>102</v>
      </c>
      <c r="G73" s="45">
        <v>70616.36</v>
      </c>
      <c r="H73" s="51">
        <v>182330</v>
      </c>
      <c r="I73" s="51">
        <v>182330</v>
      </c>
      <c r="J73" s="45">
        <v>88986.1</v>
      </c>
      <c r="K73" s="45">
        <f t="shared" si="8"/>
        <v>126.01343371422713</v>
      </c>
      <c r="L73" s="45">
        <f t="shared" si="9"/>
        <v>48.804969012230579</v>
      </c>
    </row>
    <row r="74" spans="2:12" x14ac:dyDescent="0.25">
      <c r="B74" s="5"/>
      <c r="C74" s="10"/>
      <c r="D74" s="5"/>
      <c r="E74" s="5">
        <v>3222</v>
      </c>
      <c r="F74" s="43" t="s">
        <v>103</v>
      </c>
      <c r="G74" s="45">
        <v>249695.55</v>
      </c>
      <c r="H74" s="51">
        <v>791380</v>
      </c>
      <c r="I74" s="51">
        <v>791380</v>
      </c>
      <c r="J74" s="45">
        <v>228282.85</v>
      </c>
      <c r="K74" s="45">
        <f t="shared" si="8"/>
        <v>91.424476727759071</v>
      </c>
      <c r="L74" s="45">
        <f t="shared" si="9"/>
        <v>28.846173772397581</v>
      </c>
    </row>
    <row r="75" spans="2:12" x14ac:dyDescent="0.25">
      <c r="B75" s="5"/>
      <c r="C75" s="10"/>
      <c r="D75" s="5"/>
      <c r="E75" s="5">
        <v>3223</v>
      </c>
      <c r="F75" s="43" t="s">
        <v>104</v>
      </c>
      <c r="G75" s="45">
        <v>236640.39</v>
      </c>
      <c r="H75" s="51">
        <v>655000</v>
      </c>
      <c r="I75" s="51">
        <v>655000</v>
      </c>
      <c r="J75" s="45">
        <v>225556.11</v>
      </c>
      <c r="K75" s="45">
        <f t="shared" si="8"/>
        <v>95.315981350436402</v>
      </c>
      <c r="L75" s="45">
        <f t="shared" si="9"/>
        <v>34.436047328244271</v>
      </c>
    </row>
    <row r="76" spans="2:12" x14ac:dyDescent="0.25">
      <c r="B76" s="5"/>
      <c r="C76" s="10"/>
      <c r="D76" s="5"/>
      <c r="E76" s="5">
        <v>3224</v>
      </c>
      <c r="F76" s="43" t="s">
        <v>105</v>
      </c>
      <c r="G76" s="45">
        <v>108109.29</v>
      </c>
      <c r="H76" s="51">
        <v>414950</v>
      </c>
      <c r="I76" s="51">
        <v>414950</v>
      </c>
      <c r="J76" s="45">
        <v>174519.05</v>
      </c>
      <c r="K76" s="45">
        <f t="shared" si="8"/>
        <v>161.42835643449328</v>
      </c>
      <c r="L76" s="45">
        <f t="shared" si="9"/>
        <v>42.057850343414863</v>
      </c>
    </row>
    <row r="77" spans="2:12" x14ac:dyDescent="0.25">
      <c r="B77" s="5"/>
      <c r="C77" s="10"/>
      <c r="D77" s="5"/>
      <c r="E77" s="5">
        <v>3225</v>
      </c>
      <c r="F77" s="43" t="s">
        <v>106</v>
      </c>
      <c r="G77" s="45">
        <v>57983.9</v>
      </c>
      <c r="H77" s="51">
        <v>93200</v>
      </c>
      <c r="I77" s="51">
        <v>93200</v>
      </c>
      <c r="J77" s="45">
        <v>24286.85</v>
      </c>
      <c r="K77" s="45">
        <f t="shared" si="8"/>
        <v>41.885506149120701</v>
      </c>
      <c r="L77" s="45">
        <f t="shared" si="9"/>
        <v>26.058851931330469</v>
      </c>
    </row>
    <row r="78" spans="2:12" x14ac:dyDescent="0.25">
      <c r="B78" s="5"/>
      <c r="C78" s="10"/>
      <c r="D78" s="5"/>
      <c r="E78" s="5">
        <v>3227</v>
      </c>
      <c r="F78" s="43" t="s">
        <v>107</v>
      </c>
      <c r="G78" s="45">
        <v>65902.25</v>
      </c>
      <c r="H78" s="51">
        <v>89087</v>
      </c>
      <c r="I78" s="51">
        <v>89087</v>
      </c>
      <c r="J78" s="45">
        <v>20257.55</v>
      </c>
      <c r="K78" s="45">
        <f t="shared" si="8"/>
        <v>30.738783577191974</v>
      </c>
      <c r="L78" s="45">
        <f t="shared" si="9"/>
        <v>22.739064060974105</v>
      </c>
    </row>
    <row r="79" spans="2:12" x14ac:dyDescent="0.25">
      <c r="B79" s="5"/>
      <c r="C79" s="10"/>
      <c r="D79" s="5">
        <v>323</v>
      </c>
      <c r="E79" s="5"/>
      <c r="F79" s="43" t="s">
        <v>108</v>
      </c>
      <c r="G79" s="51">
        <f t="shared" ref="G79" si="29">SUM(G80:G88)</f>
        <v>1135591.3199999998</v>
      </c>
      <c r="H79" s="51">
        <f t="shared" ref="H79:I79" si="30">SUM(H80:H88)</f>
        <v>2341645</v>
      </c>
      <c r="I79" s="51">
        <f t="shared" si="30"/>
        <v>2341645</v>
      </c>
      <c r="J79" s="51">
        <f t="shared" ref="J79" si="31">SUM(J80:J88)</f>
        <v>1383113.8</v>
      </c>
      <c r="K79" s="45">
        <f t="shared" si="8"/>
        <v>121.79679217696031</v>
      </c>
      <c r="L79" s="45">
        <f t="shared" si="9"/>
        <v>59.065904524383505</v>
      </c>
    </row>
    <row r="80" spans="2:12" x14ac:dyDescent="0.25">
      <c r="B80" s="5"/>
      <c r="C80" s="10"/>
      <c r="D80" s="5"/>
      <c r="E80" s="5">
        <v>3231</v>
      </c>
      <c r="F80" s="43" t="s">
        <v>109</v>
      </c>
      <c r="G80" s="45">
        <v>12524.69</v>
      </c>
      <c r="H80" s="51">
        <v>25800</v>
      </c>
      <c r="I80" s="51">
        <v>25800</v>
      </c>
      <c r="J80" s="45">
        <v>9973.65</v>
      </c>
      <c r="K80" s="45">
        <f t="shared" si="8"/>
        <v>79.631911049295425</v>
      </c>
      <c r="L80" s="45">
        <f t="shared" si="9"/>
        <v>38.657558139534878</v>
      </c>
    </row>
    <row r="81" spans="2:12" x14ac:dyDescent="0.25">
      <c r="B81" s="5"/>
      <c r="C81" s="10"/>
      <c r="D81" s="5"/>
      <c r="E81" s="5">
        <v>3232</v>
      </c>
      <c r="F81" s="43" t="s">
        <v>110</v>
      </c>
      <c r="G81" s="45">
        <v>747003.99</v>
      </c>
      <c r="H81" s="51">
        <v>1093927</v>
      </c>
      <c r="I81" s="51">
        <v>1093927</v>
      </c>
      <c r="J81" s="45">
        <v>959685.15</v>
      </c>
      <c r="K81" s="45">
        <f t="shared" si="8"/>
        <v>128.47122141877716</v>
      </c>
      <c r="L81" s="45">
        <f t="shared" si="9"/>
        <v>87.728445316735019</v>
      </c>
    </row>
    <row r="82" spans="2:12" x14ac:dyDescent="0.25">
      <c r="B82" s="5"/>
      <c r="C82" s="10"/>
      <c r="D82" s="5"/>
      <c r="E82" s="5">
        <v>3233</v>
      </c>
      <c r="F82" s="43" t="s">
        <v>111</v>
      </c>
      <c r="G82" s="45">
        <v>47062.35</v>
      </c>
      <c r="H82" s="51">
        <v>139350</v>
      </c>
      <c r="I82" s="51">
        <v>139350</v>
      </c>
      <c r="J82" s="45">
        <v>54623.05</v>
      </c>
      <c r="K82" s="45">
        <f t="shared" si="8"/>
        <v>116.06528360780966</v>
      </c>
      <c r="L82" s="45">
        <f t="shared" si="9"/>
        <v>39.198457122353787</v>
      </c>
    </row>
    <row r="83" spans="2:12" x14ac:dyDescent="0.25">
      <c r="B83" s="5"/>
      <c r="C83" s="10"/>
      <c r="D83" s="5"/>
      <c r="E83" s="5">
        <v>3234</v>
      </c>
      <c r="F83" s="43" t="s">
        <v>112</v>
      </c>
      <c r="G83" s="45">
        <v>85865.08</v>
      </c>
      <c r="H83" s="51">
        <v>195336</v>
      </c>
      <c r="I83" s="51">
        <v>195336</v>
      </c>
      <c r="J83" s="45">
        <v>113529.63</v>
      </c>
      <c r="K83" s="45">
        <f t="shared" si="8"/>
        <v>132.21862717649597</v>
      </c>
      <c r="L83" s="45">
        <f t="shared" si="9"/>
        <v>58.120177540238359</v>
      </c>
    </row>
    <row r="84" spans="2:12" x14ac:dyDescent="0.25">
      <c r="B84" s="5"/>
      <c r="C84" s="10"/>
      <c r="D84" s="5"/>
      <c r="E84" s="5">
        <v>3235</v>
      </c>
      <c r="F84" s="43" t="s">
        <v>113</v>
      </c>
      <c r="G84" s="45">
        <v>20790.990000000002</v>
      </c>
      <c r="H84" s="51">
        <v>10000</v>
      </c>
      <c r="I84" s="51">
        <v>10000</v>
      </c>
      <c r="J84" s="45">
        <v>1050</v>
      </c>
      <c r="K84" s="45">
        <f t="shared" si="8"/>
        <v>5.0502645617163973</v>
      </c>
      <c r="L84" s="45">
        <f t="shared" si="9"/>
        <v>10.5</v>
      </c>
    </row>
    <row r="85" spans="2:12" x14ac:dyDescent="0.25">
      <c r="B85" s="5"/>
      <c r="C85" s="10"/>
      <c r="D85" s="5"/>
      <c r="E85" s="5">
        <v>3236</v>
      </c>
      <c r="F85" s="43" t="s">
        <v>114</v>
      </c>
      <c r="G85" s="45">
        <v>5252.19</v>
      </c>
      <c r="H85" s="51">
        <v>54750</v>
      </c>
      <c r="I85" s="51">
        <v>54750</v>
      </c>
      <c r="J85" s="45">
        <v>13515.27</v>
      </c>
      <c r="K85" s="45">
        <f t="shared" si="8"/>
        <v>257.32637242750172</v>
      </c>
      <c r="L85" s="45">
        <f t="shared" si="9"/>
        <v>24.685424657534245</v>
      </c>
    </row>
    <row r="86" spans="2:12" x14ac:dyDescent="0.25">
      <c r="B86" s="5"/>
      <c r="C86" s="10"/>
      <c r="D86" s="5"/>
      <c r="E86" s="5">
        <v>3237</v>
      </c>
      <c r="F86" s="43" t="s">
        <v>115</v>
      </c>
      <c r="G86" s="45">
        <v>118377.34</v>
      </c>
      <c r="H86" s="51">
        <v>444354</v>
      </c>
      <c r="I86" s="51">
        <v>444354</v>
      </c>
      <c r="J86" s="45">
        <v>119328.26</v>
      </c>
      <c r="K86" s="45">
        <f t="shared" si="8"/>
        <v>100.80329563073474</v>
      </c>
      <c r="L86" s="45">
        <f t="shared" si="9"/>
        <v>26.854323354802702</v>
      </c>
    </row>
    <row r="87" spans="2:12" x14ac:dyDescent="0.25">
      <c r="B87" s="5"/>
      <c r="C87" s="10"/>
      <c r="D87" s="5"/>
      <c r="E87" s="5">
        <v>3238</v>
      </c>
      <c r="F87" s="43" t="s">
        <v>116</v>
      </c>
      <c r="G87" s="45">
        <v>47797.5</v>
      </c>
      <c r="H87" s="51">
        <v>157878</v>
      </c>
      <c r="I87" s="51">
        <v>157878</v>
      </c>
      <c r="J87" s="45">
        <v>49548.29</v>
      </c>
      <c r="K87" s="45">
        <f t="shared" si="8"/>
        <v>103.66293216172393</v>
      </c>
      <c r="L87" s="45">
        <f t="shared" si="9"/>
        <v>31.383910361164951</v>
      </c>
    </row>
    <row r="88" spans="2:12" x14ac:dyDescent="0.25">
      <c r="B88" s="5"/>
      <c r="C88" s="10"/>
      <c r="D88" s="5"/>
      <c r="E88" s="5">
        <v>3239</v>
      </c>
      <c r="F88" s="43" t="s">
        <v>117</v>
      </c>
      <c r="G88" s="45">
        <v>50917.19</v>
      </c>
      <c r="H88" s="51">
        <v>220250</v>
      </c>
      <c r="I88" s="51">
        <v>220250</v>
      </c>
      <c r="J88" s="45">
        <v>61860.5</v>
      </c>
      <c r="K88" s="45">
        <f t="shared" si="8"/>
        <v>121.49236829447972</v>
      </c>
      <c r="L88" s="45">
        <f t="shared" si="9"/>
        <v>28.08649262202043</v>
      </c>
    </row>
    <row r="89" spans="2:12" x14ac:dyDescent="0.25">
      <c r="B89" s="5"/>
      <c r="C89" s="10"/>
      <c r="D89" s="5">
        <v>324</v>
      </c>
      <c r="E89" s="5"/>
      <c r="F89" s="43" t="s">
        <v>118</v>
      </c>
      <c r="G89" s="51">
        <f t="shared" ref="G89:J89" si="32">SUM(G90)</f>
        <v>30.45</v>
      </c>
      <c r="H89" s="51">
        <f t="shared" si="32"/>
        <v>2650</v>
      </c>
      <c r="I89" s="51">
        <f t="shared" si="32"/>
        <v>2650</v>
      </c>
      <c r="J89" s="51">
        <f t="shared" si="32"/>
        <v>153.71</v>
      </c>
      <c r="K89" s="45">
        <f t="shared" si="8"/>
        <v>504.79474548440066</v>
      </c>
      <c r="L89" s="45">
        <f t="shared" si="9"/>
        <v>5.8003773584905662</v>
      </c>
    </row>
    <row r="90" spans="2:12" x14ac:dyDescent="0.25">
      <c r="B90" s="5"/>
      <c r="C90" s="10"/>
      <c r="D90" s="5"/>
      <c r="E90" s="5">
        <v>3241</v>
      </c>
      <c r="F90" s="43" t="s">
        <v>118</v>
      </c>
      <c r="G90" s="45">
        <v>30.45</v>
      </c>
      <c r="H90" s="51">
        <v>2650</v>
      </c>
      <c r="I90" s="51">
        <v>2650</v>
      </c>
      <c r="J90" s="45">
        <v>153.71</v>
      </c>
      <c r="K90" s="45">
        <f t="shared" si="8"/>
        <v>504.79474548440066</v>
      </c>
      <c r="L90" s="45">
        <f t="shared" si="9"/>
        <v>5.8003773584905662</v>
      </c>
    </row>
    <row r="91" spans="2:12" x14ac:dyDescent="0.25">
      <c r="B91" s="5"/>
      <c r="C91" s="10"/>
      <c r="D91" s="5">
        <v>329</v>
      </c>
      <c r="E91" s="5"/>
      <c r="F91" s="43" t="s">
        <v>119</v>
      </c>
      <c r="G91" s="51">
        <f>SUM(G92:G96,G97:G98)</f>
        <v>136284.91999999998</v>
      </c>
      <c r="H91" s="51">
        <f>SUM(H92:H96,H97:H98)</f>
        <v>341900</v>
      </c>
      <c r="I91" s="51">
        <f>SUM(I92:I96,I97:I98)</f>
        <v>341900</v>
      </c>
      <c r="J91" s="51">
        <f>SUM(J92:J96,J97:J98)</f>
        <v>162511.41999999998</v>
      </c>
      <c r="K91" s="45">
        <f t="shared" si="8"/>
        <v>119.24387525780548</v>
      </c>
      <c r="L91" s="45">
        <f t="shared" si="9"/>
        <v>47.531857268207069</v>
      </c>
    </row>
    <row r="92" spans="2:12" x14ac:dyDescent="0.25">
      <c r="B92" s="5"/>
      <c r="C92" s="10"/>
      <c r="D92" s="5"/>
      <c r="E92" s="5">
        <v>3291</v>
      </c>
      <c r="F92" s="43" t="s">
        <v>120</v>
      </c>
      <c r="G92" s="45">
        <v>4160.6099999999997</v>
      </c>
      <c r="H92" s="51">
        <v>13500</v>
      </c>
      <c r="I92" s="51">
        <v>13500</v>
      </c>
      <c r="J92" s="45">
        <v>9093.0499999999993</v>
      </c>
      <c r="K92" s="45">
        <f t="shared" si="8"/>
        <v>218.55088556726056</v>
      </c>
      <c r="L92" s="45">
        <f t="shared" si="9"/>
        <v>67.355925925925916</v>
      </c>
    </row>
    <row r="93" spans="2:12" x14ac:dyDescent="0.25">
      <c r="B93" s="5"/>
      <c r="C93" s="10"/>
      <c r="D93" s="5"/>
      <c r="E93" s="5">
        <v>3292</v>
      </c>
      <c r="F93" s="43" t="s">
        <v>121</v>
      </c>
      <c r="G93" s="45">
        <v>7181.44</v>
      </c>
      <c r="H93" s="51">
        <v>102500</v>
      </c>
      <c r="I93" s="51">
        <v>102500</v>
      </c>
      <c r="J93" s="45">
        <v>18013.77</v>
      </c>
      <c r="K93" s="45">
        <f t="shared" si="8"/>
        <v>250.83785424650213</v>
      </c>
      <c r="L93" s="45">
        <f t="shared" si="9"/>
        <v>17.574409756097563</v>
      </c>
    </row>
    <row r="94" spans="2:12" x14ac:dyDescent="0.25">
      <c r="B94" s="5"/>
      <c r="C94" s="10"/>
      <c r="D94" s="5"/>
      <c r="E94" s="5">
        <v>3293</v>
      </c>
      <c r="F94" s="43" t="s">
        <v>122</v>
      </c>
      <c r="G94" s="45">
        <v>6684.7</v>
      </c>
      <c r="H94" s="51">
        <v>20300</v>
      </c>
      <c r="I94" s="51">
        <v>20300</v>
      </c>
      <c r="J94" s="45">
        <v>4171.04</v>
      </c>
      <c r="K94" s="45">
        <f t="shared" si="8"/>
        <v>62.396816611067067</v>
      </c>
      <c r="L94" s="45">
        <f t="shared" si="9"/>
        <v>20.546995073891626</v>
      </c>
    </row>
    <row r="95" spans="2:12" x14ac:dyDescent="0.25">
      <c r="B95" s="5"/>
      <c r="C95" s="10"/>
      <c r="D95" s="5"/>
      <c r="E95" s="5">
        <v>3294</v>
      </c>
      <c r="F95" s="43" t="s">
        <v>123</v>
      </c>
      <c r="G95" s="45">
        <v>383.59</v>
      </c>
      <c r="H95" s="51">
        <v>2100</v>
      </c>
      <c r="I95" s="51">
        <v>2100</v>
      </c>
      <c r="J95" s="45">
        <v>447.14</v>
      </c>
      <c r="K95" s="45">
        <f t="shared" si="8"/>
        <v>116.56716807007483</v>
      </c>
      <c r="L95" s="45">
        <f t="shared" si="9"/>
        <v>21.292380952380952</v>
      </c>
    </row>
    <row r="96" spans="2:12" x14ac:dyDescent="0.25">
      <c r="B96" s="5"/>
      <c r="C96" s="10"/>
      <c r="D96" s="5"/>
      <c r="E96" s="5">
        <v>3295</v>
      </c>
      <c r="F96" s="43" t="s">
        <v>124</v>
      </c>
      <c r="G96" s="45">
        <v>79572.509999999995</v>
      </c>
      <c r="H96" s="51">
        <v>130000</v>
      </c>
      <c r="I96" s="51">
        <v>130000</v>
      </c>
      <c r="J96" s="45">
        <v>80275.97</v>
      </c>
      <c r="K96" s="45">
        <f t="shared" si="8"/>
        <v>100.88404902647912</v>
      </c>
      <c r="L96" s="45">
        <f t="shared" si="9"/>
        <v>61.750746153846158</v>
      </c>
    </row>
    <row r="97" spans="2:12" x14ac:dyDescent="0.25">
      <c r="B97" s="5"/>
      <c r="C97" s="10"/>
      <c r="D97" s="5"/>
      <c r="E97" s="5">
        <v>3296</v>
      </c>
      <c r="F97" s="43" t="s">
        <v>125</v>
      </c>
      <c r="G97" s="45"/>
      <c r="H97" s="51">
        <v>1500</v>
      </c>
      <c r="I97" s="51">
        <v>1500</v>
      </c>
      <c r="J97" s="45">
        <v>0</v>
      </c>
      <c r="K97" s="45"/>
      <c r="L97" s="45">
        <f t="shared" si="9"/>
        <v>0</v>
      </c>
    </row>
    <row r="98" spans="2:12" x14ac:dyDescent="0.25">
      <c r="B98" s="5"/>
      <c r="C98" s="10"/>
      <c r="D98" s="6"/>
      <c r="E98" s="5">
        <v>3299</v>
      </c>
      <c r="F98" s="43" t="s">
        <v>119</v>
      </c>
      <c r="G98" s="45">
        <v>38302.07</v>
      </c>
      <c r="H98" s="51">
        <v>72000</v>
      </c>
      <c r="I98" s="51">
        <v>72000</v>
      </c>
      <c r="J98" s="45">
        <v>50510.45</v>
      </c>
      <c r="K98" s="45">
        <f>J98/G98*100</f>
        <v>131.87394310542484</v>
      </c>
      <c r="L98" s="45">
        <f t="shared" si="9"/>
        <v>70.153402777777771</v>
      </c>
    </row>
    <row r="99" spans="2:12" x14ac:dyDescent="0.25">
      <c r="B99" s="5"/>
      <c r="C99" s="10">
        <v>34</v>
      </c>
      <c r="D99" s="5"/>
      <c r="E99" s="5"/>
      <c r="F99" s="43" t="s">
        <v>126</v>
      </c>
      <c r="G99" s="51">
        <f>SUM(G100)</f>
        <v>3886.15</v>
      </c>
      <c r="H99" s="51">
        <f t="shared" ref="H99:J99" si="33">SUM(H100)</f>
        <v>15500</v>
      </c>
      <c r="I99" s="51">
        <f t="shared" si="33"/>
        <v>15500</v>
      </c>
      <c r="J99" s="51">
        <f t="shared" si="33"/>
        <v>4666.05</v>
      </c>
      <c r="K99" s="45">
        <f>J99/G99*100</f>
        <v>120.06870553118125</v>
      </c>
      <c r="L99" s="45">
        <f t="shared" si="9"/>
        <v>30.103548387096772</v>
      </c>
    </row>
    <row r="100" spans="2:12" x14ac:dyDescent="0.25">
      <c r="B100" s="5"/>
      <c r="C100" s="10"/>
      <c r="D100" s="5">
        <v>343</v>
      </c>
      <c r="E100" s="5"/>
      <c r="F100" s="43" t="s">
        <v>127</v>
      </c>
      <c r="G100" s="51">
        <f t="shared" ref="G100" si="34">SUM(G101:G103)</f>
        <v>3886.15</v>
      </c>
      <c r="H100" s="51">
        <f t="shared" ref="H100:I100" si="35">SUM(H101:H103)</f>
        <v>15500</v>
      </c>
      <c r="I100" s="51">
        <f t="shared" si="35"/>
        <v>15500</v>
      </c>
      <c r="J100" s="51">
        <f t="shared" ref="J100" si="36">SUM(J101:J103)</f>
        <v>4666.05</v>
      </c>
      <c r="K100" s="45">
        <f>J100/G100*100</f>
        <v>120.06870553118125</v>
      </c>
      <c r="L100" s="45">
        <f>J100/I100*100</f>
        <v>30.103548387096772</v>
      </c>
    </row>
    <row r="101" spans="2:12" x14ac:dyDescent="0.25">
      <c r="B101" s="5"/>
      <c r="C101" s="10"/>
      <c r="D101" s="5"/>
      <c r="E101" s="5">
        <v>3431</v>
      </c>
      <c r="F101" s="43" t="s">
        <v>128</v>
      </c>
      <c r="G101" s="45">
        <v>3632.33</v>
      </c>
      <c r="H101" s="51">
        <v>14500</v>
      </c>
      <c r="I101" s="51">
        <v>14500</v>
      </c>
      <c r="J101" s="45">
        <v>4556.16</v>
      </c>
      <c r="K101" s="45">
        <f>J101/G101*100</f>
        <v>125.43353715108483</v>
      </c>
      <c r="L101" s="45">
        <f>J101/I101*100</f>
        <v>31.421793103448277</v>
      </c>
    </row>
    <row r="102" spans="2:12" x14ac:dyDescent="0.25">
      <c r="B102" s="5"/>
      <c r="C102" s="10"/>
      <c r="D102" s="5"/>
      <c r="E102" s="5">
        <v>3432</v>
      </c>
      <c r="F102" s="43" t="s">
        <v>129</v>
      </c>
      <c r="G102" s="45"/>
      <c r="H102" s="51">
        <v>500</v>
      </c>
      <c r="I102" s="51">
        <v>500</v>
      </c>
      <c r="J102" s="45">
        <v>0</v>
      </c>
      <c r="K102" s="45"/>
      <c r="L102" s="45">
        <f>J102/I102*100</f>
        <v>0</v>
      </c>
    </row>
    <row r="103" spans="2:12" x14ac:dyDescent="0.25">
      <c r="B103" s="5"/>
      <c r="C103" s="5"/>
      <c r="D103" s="5"/>
      <c r="E103" s="5">
        <v>3433</v>
      </c>
      <c r="F103" s="43" t="s">
        <v>130</v>
      </c>
      <c r="G103" s="45">
        <v>253.82</v>
      </c>
      <c r="H103" s="51">
        <v>500</v>
      </c>
      <c r="I103" s="51">
        <v>500</v>
      </c>
      <c r="J103" s="45">
        <v>109.89</v>
      </c>
      <c r="K103" s="45">
        <f>J103/G103*100</f>
        <v>43.294460641399418</v>
      </c>
      <c r="L103" s="45">
        <f>J103/I103*100</f>
        <v>21.978000000000002</v>
      </c>
    </row>
    <row r="104" spans="2:12" x14ac:dyDescent="0.25">
      <c r="B104" s="5"/>
      <c r="C104" s="10">
        <v>36</v>
      </c>
      <c r="D104" s="5"/>
      <c r="E104" s="5"/>
      <c r="F104" s="43" t="s">
        <v>131</v>
      </c>
      <c r="G104" s="51">
        <f t="shared" ref="G104:J105" si="37">SUM(G105)</f>
        <v>536.54999999999995</v>
      </c>
      <c r="H104" s="51">
        <f t="shared" si="37"/>
        <v>124800</v>
      </c>
      <c r="I104" s="51">
        <f t="shared" si="37"/>
        <v>124800</v>
      </c>
      <c r="J104" s="51">
        <f t="shared" si="37"/>
        <v>0</v>
      </c>
      <c r="K104" s="45">
        <f t="shared" ref="K104:K109" si="38">J104/G104*100</f>
        <v>0</v>
      </c>
      <c r="L104" s="45">
        <f t="shared" ref="L104:L133" si="39">J104/I104*100</f>
        <v>0</v>
      </c>
    </row>
    <row r="105" spans="2:12" x14ac:dyDescent="0.25">
      <c r="B105" s="5"/>
      <c r="C105" s="5"/>
      <c r="D105" s="5">
        <v>369</v>
      </c>
      <c r="E105" s="5"/>
      <c r="F105" s="43" t="s">
        <v>63</v>
      </c>
      <c r="G105" s="51">
        <f t="shared" si="37"/>
        <v>536.54999999999995</v>
      </c>
      <c r="H105" s="51">
        <f t="shared" si="37"/>
        <v>124800</v>
      </c>
      <c r="I105" s="51">
        <f t="shared" si="37"/>
        <v>124800</v>
      </c>
      <c r="J105" s="51">
        <f t="shared" si="37"/>
        <v>0</v>
      </c>
      <c r="K105" s="45">
        <f t="shared" si="38"/>
        <v>0</v>
      </c>
      <c r="L105" s="45">
        <f t="shared" si="39"/>
        <v>0</v>
      </c>
    </row>
    <row r="106" spans="2:12" x14ac:dyDescent="0.25">
      <c r="B106" s="5"/>
      <c r="C106" s="5"/>
      <c r="D106" s="6"/>
      <c r="E106" s="5">
        <v>3691</v>
      </c>
      <c r="F106" s="43" t="s">
        <v>64</v>
      </c>
      <c r="G106" s="45">
        <v>536.54999999999995</v>
      </c>
      <c r="H106" s="51">
        <v>124800</v>
      </c>
      <c r="I106" s="51">
        <v>124800</v>
      </c>
      <c r="J106" s="45"/>
      <c r="K106" s="45">
        <f t="shared" si="38"/>
        <v>0</v>
      </c>
      <c r="L106" s="45">
        <f t="shared" si="39"/>
        <v>0</v>
      </c>
    </row>
    <row r="107" spans="2:12" x14ac:dyDescent="0.25">
      <c r="B107" s="5"/>
      <c r="C107" s="10">
        <v>37</v>
      </c>
      <c r="D107" s="5"/>
      <c r="E107" s="5"/>
      <c r="F107" s="43" t="s">
        <v>132</v>
      </c>
      <c r="G107" s="51">
        <f t="shared" ref="G107:J108" si="40">SUM(G108)</f>
        <v>955.68</v>
      </c>
      <c r="H107" s="51">
        <f t="shared" si="40"/>
        <v>2500</v>
      </c>
      <c r="I107" s="51">
        <f t="shared" si="40"/>
        <v>2500</v>
      </c>
      <c r="J107" s="51">
        <f t="shared" si="40"/>
        <v>0</v>
      </c>
      <c r="K107" s="45">
        <f t="shared" si="38"/>
        <v>0</v>
      </c>
      <c r="L107" s="45">
        <f t="shared" si="39"/>
        <v>0</v>
      </c>
    </row>
    <row r="108" spans="2:12" x14ac:dyDescent="0.25">
      <c r="B108" s="5"/>
      <c r="C108" s="5"/>
      <c r="D108" s="5">
        <v>372</v>
      </c>
      <c r="E108" s="5"/>
      <c r="F108" s="43" t="s">
        <v>133</v>
      </c>
      <c r="G108" s="51">
        <f t="shared" si="40"/>
        <v>955.68</v>
      </c>
      <c r="H108" s="51">
        <f t="shared" si="40"/>
        <v>2500</v>
      </c>
      <c r="I108" s="51">
        <f t="shared" si="40"/>
        <v>2500</v>
      </c>
      <c r="J108" s="51">
        <f t="shared" si="40"/>
        <v>0</v>
      </c>
      <c r="K108" s="45">
        <f t="shared" si="38"/>
        <v>0</v>
      </c>
      <c r="L108" s="45">
        <f t="shared" si="39"/>
        <v>0</v>
      </c>
    </row>
    <row r="109" spans="2:12" x14ac:dyDescent="0.25">
      <c r="B109" s="5"/>
      <c r="C109" s="5"/>
      <c r="D109" s="6"/>
      <c r="E109" s="5">
        <v>3721</v>
      </c>
      <c r="F109" s="43" t="s">
        <v>134</v>
      </c>
      <c r="G109" s="45">
        <v>955.68</v>
      </c>
      <c r="H109" s="51">
        <v>2500</v>
      </c>
      <c r="I109" s="51">
        <v>2500</v>
      </c>
      <c r="J109" s="45"/>
      <c r="K109" s="45">
        <f t="shared" si="38"/>
        <v>0</v>
      </c>
      <c r="L109" s="45">
        <f t="shared" si="39"/>
        <v>0</v>
      </c>
    </row>
    <row r="110" spans="2:12" ht="45" customHeight="1" x14ac:dyDescent="0.25">
      <c r="B110" s="117" t="s">
        <v>7</v>
      </c>
      <c r="C110" s="118"/>
      <c r="D110" s="118"/>
      <c r="E110" s="118"/>
      <c r="F110" s="119"/>
      <c r="G110" s="23" t="s">
        <v>19</v>
      </c>
      <c r="H110" s="23" t="s">
        <v>184</v>
      </c>
      <c r="I110" s="23" t="s">
        <v>194</v>
      </c>
      <c r="J110" s="23" t="s">
        <v>183</v>
      </c>
      <c r="K110" s="23" t="s">
        <v>20</v>
      </c>
      <c r="L110" s="23" t="s">
        <v>40</v>
      </c>
    </row>
    <row r="111" spans="2:12" x14ac:dyDescent="0.25">
      <c r="B111" s="120">
        <v>1</v>
      </c>
      <c r="C111" s="121"/>
      <c r="D111" s="121"/>
      <c r="E111" s="121"/>
      <c r="F111" s="122"/>
      <c r="G111" s="25">
        <v>2</v>
      </c>
      <c r="H111" s="25">
        <v>3</v>
      </c>
      <c r="I111" s="25">
        <v>3</v>
      </c>
      <c r="J111" s="25">
        <v>4</v>
      </c>
      <c r="K111" s="25" t="s">
        <v>192</v>
      </c>
      <c r="L111" s="25" t="s">
        <v>193</v>
      </c>
    </row>
    <row r="112" spans="2:12" x14ac:dyDescent="0.25">
      <c r="B112" s="5"/>
      <c r="C112" s="10">
        <v>38</v>
      </c>
      <c r="D112" s="6"/>
      <c r="E112" s="5"/>
      <c r="F112" s="43" t="s">
        <v>81</v>
      </c>
      <c r="G112" s="51">
        <f t="shared" ref="G112:J113" si="41">SUM(G113)</f>
        <v>0</v>
      </c>
      <c r="H112" s="51">
        <f t="shared" si="41"/>
        <v>500</v>
      </c>
      <c r="I112" s="51">
        <f t="shared" si="41"/>
        <v>500</v>
      </c>
      <c r="J112" s="51">
        <f t="shared" si="41"/>
        <v>0</v>
      </c>
      <c r="K112" s="45"/>
      <c r="L112" s="45">
        <f t="shared" si="39"/>
        <v>0</v>
      </c>
    </row>
    <row r="113" spans="2:12" x14ac:dyDescent="0.25">
      <c r="B113" s="5"/>
      <c r="C113" s="5"/>
      <c r="D113" s="5">
        <v>383</v>
      </c>
      <c r="E113" s="5"/>
      <c r="F113" s="43" t="s">
        <v>81</v>
      </c>
      <c r="G113" s="51">
        <f t="shared" si="41"/>
        <v>0</v>
      </c>
      <c r="H113" s="51">
        <f t="shared" si="41"/>
        <v>500</v>
      </c>
      <c r="I113" s="51">
        <f t="shared" si="41"/>
        <v>500</v>
      </c>
      <c r="J113" s="51">
        <f t="shared" si="41"/>
        <v>0</v>
      </c>
      <c r="K113" s="45"/>
      <c r="L113" s="45">
        <f t="shared" si="39"/>
        <v>0</v>
      </c>
    </row>
    <row r="114" spans="2:12" x14ac:dyDescent="0.25">
      <c r="B114" s="5"/>
      <c r="C114" s="5"/>
      <c r="D114" s="6"/>
      <c r="E114" s="5">
        <v>3835</v>
      </c>
      <c r="F114" s="43" t="s">
        <v>81</v>
      </c>
      <c r="G114" s="45"/>
      <c r="H114" s="51">
        <v>500</v>
      </c>
      <c r="I114" s="51">
        <v>500</v>
      </c>
      <c r="J114" s="45"/>
      <c r="K114" s="45"/>
      <c r="L114" s="45">
        <f t="shared" si="39"/>
        <v>0</v>
      </c>
    </row>
    <row r="115" spans="2:12" x14ac:dyDescent="0.25">
      <c r="B115" s="63">
        <v>4</v>
      </c>
      <c r="C115" s="63"/>
      <c r="D115" s="63"/>
      <c r="E115" s="63"/>
      <c r="F115" s="64" t="s">
        <v>6</v>
      </c>
      <c r="G115" s="65">
        <f t="shared" ref="G115" si="42">SUM(G116,G134)</f>
        <v>220622.78</v>
      </c>
      <c r="H115" s="65">
        <f t="shared" ref="H115:I115" si="43">SUM(H116,H134)</f>
        <v>474730</v>
      </c>
      <c r="I115" s="65">
        <f t="shared" si="43"/>
        <v>474730</v>
      </c>
      <c r="J115" s="65">
        <f>SUM(J116,J134)</f>
        <v>225182.62</v>
      </c>
      <c r="K115" s="86">
        <f t="shared" ref="K115:K129" si="44">J115/G115*100</f>
        <v>102.06680379968016</v>
      </c>
      <c r="L115" s="86">
        <f t="shared" si="39"/>
        <v>47.433829755861225</v>
      </c>
    </row>
    <row r="116" spans="2:12" x14ac:dyDescent="0.25">
      <c r="B116" s="7"/>
      <c r="C116" s="7">
        <v>42</v>
      </c>
      <c r="D116" s="7"/>
      <c r="E116" s="7"/>
      <c r="F116" s="43" t="s">
        <v>135</v>
      </c>
      <c r="G116" s="51">
        <f t="shared" ref="G116:I116" si="45">SUM(G117,G120,G128,G130,G132)</f>
        <v>212530.43</v>
      </c>
      <c r="H116" s="51">
        <f t="shared" si="45"/>
        <v>474730</v>
      </c>
      <c r="I116" s="51">
        <f t="shared" si="45"/>
        <v>474730</v>
      </c>
      <c r="J116" s="51">
        <f>SUM(J117,J120,J128,J130,J132)</f>
        <v>205767.72</v>
      </c>
      <c r="K116" s="45">
        <f t="shared" si="44"/>
        <v>96.818003897136052</v>
      </c>
      <c r="L116" s="45">
        <f t="shared" si="39"/>
        <v>43.344157731763318</v>
      </c>
    </row>
    <row r="117" spans="2:12" x14ac:dyDescent="0.25">
      <c r="B117" s="7"/>
      <c r="C117" s="7"/>
      <c r="D117" s="5">
        <v>421</v>
      </c>
      <c r="E117" s="5"/>
      <c r="F117" s="43" t="s">
        <v>136</v>
      </c>
      <c r="G117" s="51">
        <f t="shared" ref="G117" si="46">SUM(G118:G119)</f>
        <v>24355.3</v>
      </c>
      <c r="H117" s="51">
        <f t="shared" ref="H117:I117" si="47">SUM(H118:H119)</f>
        <v>12550</v>
      </c>
      <c r="I117" s="51">
        <f t="shared" si="47"/>
        <v>12550</v>
      </c>
      <c r="J117" s="51">
        <f t="shared" ref="J117" si="48">SUM(J118:J119)</f>
        <v>4000</v>
      </c>
      <c r="K117" s="45">
        <f t="shared" si="44"/>
        <v>16.423529991418707</v>
      </c>
      <c r="L117" s="45">
        <f t="shared" si="39"/>
        <v>31.872509960159363</v>
      </c>
    </row>
    <row r="118" spans="2:12" x14ac:dyDescent="0.25">
      <c r="B118" s="7"/>
      <c r="C118" s="7"/>
      <c r="D118" s="5"/>
      <c r="E118" s="5">
        <v>4212</v>
      </c>
      <c r="F118" s="43" t="s">
        <v>137</v>
      </c>
      <c r="G118" s="45">
        <v>8132.48</v>
      </c>
      <c r="H118" s="51">
        <v>0</v>
      </c>
      <c r="I118" s="51">
        <v>0</v>
      </c>
      <c r="J118" s="45">
        <v>4000</v>
      </c>
      <c r="K118" s="45">
        <f t="shared" si="44"/>
        <v>49.185488313527983</v>
      </c>
      <c r="L118" s="45"/>
    </row>
    <row r="119" spans="2:12" x14ac:dyDescent="0.25">
      <c r="B119" s="7"/>
      <c r="C119" s="7"/>
      <c r="D119" s="5"/>
      <c r="E119" s="5">
        <v>4214</v>
      </c>
      <c r="F119" s="43" t="s">
        <v>138</v>
      </c>
      <c r="G119" s="45">
        <v>16222.82</v>
      </c>
      <c r="H119" s="51">
        <v>12550</v>
      </c>
      <c r="I119" s="51">
        <v>12550</v>
      </c>
      <c r="J119" s="45"/>
      <c r="K119" s="45">
        <f t="shared" si="44"/>
        <v>0</v>
      </c>
      <c r="L119" s="45">
        <f t="shared" si="39"/>
        <v>0</v>
      </c>
    </row>
    <row r="120" spans="2:12" x14ac:dyDescent="0.25">
      <c r="B120" s="7"/>
      <c r="C120" s="7"/>
      <c r="D120" s="5">
        <v>422</v>
      </c>
      <c r="E120" s="5"/>
      <c r="F120" s="43" t="s">
        <v>139</v>
      </c>
      <c r="G120" s="51">
        <f t="shared" ref="G120" si="49">SUM(G121:G127)</f>
        <v>175275.13</v>
      </c>
      <c r="H120" s="51">
        <f t="shared" ref="H120:I120" si="50">SUM(H121:H127)</f>
        <v>274580</v>
      </c>
      <c r="I120" s="51">
        <f t="shared" si="50"/>
        <v>274580</v>
      </c>
      <c r="J120" s="51">
        <f t="shared" ref="J120" si="51">SUM(J121:J127)</f>
        <v>159578.72</v>
      </c>
      <c r="K120" s="45">
        <f t="shared" si="44"/>
        <v>91.044702120603191</v>
      </c>
      <c r="L120" s="45">
        <f t="shared" si="39"/>
        <v>58.117386554009762</v>
      </c>
    </row>
    <row r="121" spans="2:12" x14ac:dyDescent="0.25">
      <c r="B121" s="7"/>
      <c r="C121" s="7"/>
      <c r="D121" s="5"/>
      <c r="E121" s="5">
        <v>4221</v>
      </c>
      <c r="F121" s="43" t="s">
        <v>140</v>
      </c>
      <c r="G121" s="45">
        <v>10786.45</v>
      </c>
      <c r="H121" s="51">
        <v>31700</v>
      </c>
      <c r="I121" s="51">
        <v>31700</v>
      </c>
      <c r="J121" s="45">
        <v>10263.32</v>
      </c>
      <c r="K121" s="45">
        <f t="shared" si="44"/>
        <v>95.150118899174416</v>
      </c>
      <c r="L121" s="45">
        <f t="shared" si="39"/>
        <v>32.376403785488961</v>
      </c>
    </row>
    <row r="122" spans="2:12" x14ac:dyDescent="0.25">
      <c r="B122" s="7"/>
      <c r="C122" s="7"/>
      <c r="D122" s="5"/>
      <c r="E122" s="5">
        <v>4222</v>
      </c>
      <c r="F122" s="43" t="s">
        <v>141</v>
      </c>
      <c r="G122" s="45">
        <v>39269.25</v>
      </c>
      <c r="H122" s="51">
        <v>16000</v>
      </c>
      <c r="I122" s="51">
        <v>16000</v>
      </c>
      <c r="J122" s="45">
        <v>14051.27</v>
      </c>
      <c r="K122" s="45">
        <f t="shared" si="44"/>
        <v>35.781864945217947</v>
      </c>
      <c r="L122" s="45">
        <f t="shared" si="39"/>
        <v>87.820437499999997</v>
      </c>
    </row>
    <row r="123" spans="2:12" x14ac:dyDescent="0.25">
      <c r="B123" s="7"/>
      <c r="C123" s="7"/>
      <c r="D123" s="5"/>
      <c r="E123" s="5">
        <v>4223</v>
      </c>
      <c r="F123" s="43" t="s">
        <v>142</v>
      </c>
      <c r="G123" s="45">
        <v>22590.57</v>
      </c>
      <c r="H123" s="51">
        <v>49700</v>
      </c>
      <c r="I123" s="51">
        <v>49700</v>
      </c>
      <c r="J123" s="45">
        <v>44506.28</v>
      </c>
      <c r="K123" s="45">
        <f t="shared" si="44"/>
        <v>197.01264731257334</v>
      </c>
      <c r="L123" s="45">
        <f t="shared" si="39"/>
        <v>89.549859154929578</v>
      </c>
    </row>
    <row r="124" spans="2:12" x14ac:dyDescent="0.25">
      <c r="B124" s="7"/>
      <c r="C124" s="7"/>
      <c r="D124" s="5"/>
      <c r="E124" s="5">
        <v>4224</v>
      </c>
      <c r="F124" s="43" t="s">
        <v>143</v>
      </c>
      <c r="G124" s="45">
        <v>2449.13</v>
      </c>
      <c r="H124" s="51">
        <v>1000</v>
      </c>
      <c r="I124" s="51">
        <v>1000</v>
      </c>
      <c r="J124" s="45">
        <v>0</v>
      </c>
      <c r="K124" s="45">
        <f t="shared" si="44"/>
        <v>0</v>
      </c>
      <c r="L124" s="45">
        <f t="shared" si="39"/>
        <v>0</v>
      </c>
    </row>
    <row r="125" spans="2:12" x14ac:dyDescent="0.25">
      <c r="B125" s="7"/>
      <c r="C125" s="7"/>
      <c r="D125" s="5"/>
      <c r="E125" s="5">
        <v>4225</v>
      </c>
      <c r="F125" s="43" t="s">
        <v>144</v>
      </c>
      <c r="G125" s="45">
        <v>3951.78</v>
      </c>
      <c r="H125" s="51">
        <v>46750</v>
      </c>
      <c r="I125" s="51">
        <v>46750</v>
      </c>
      <c r="J125" s="45">
        <v>8470.36</v>
      </c>
      <c r="K125" s="45">
        <f t="shared" si="44"/>
        <v>214.3429037041536</v>
      </c>
      <c r="L125" s="45">
        <f t="shared" si="39"/>
        <v>18.118417112299468</v>
      </c>
    </row>
    <row r="126" spans="2:12" x14ac:dyDescent="0.25">
      <c r="B126" s="7"/>
      <c r="C126" s="7"/>
      <c r="D126" s="5"/>
      <c r="E126" s="5">
        <v>4226</v>
      </c>
      <c r="F126" s="43" t="s">
        <v>145</v>
      </c>
      <c r="G126" s="45">
        <v>110.92</v>
      </c>
      <c r="H126" s="51">
        <v>10000</v>
      </c>
      <c r="I126" s="51">
        <v>10000</v>
      </c>
      <c r="J126" s="45"/>
      <c r="K126" s="45">
        <f t="shared" si="44"/>
        <v>0</v>
      </c>
      <c r="L126" s="45">
        <f t="shared" si="39"/>
        <v>0</v>
      </c>
    </row>
    <row r="127" spans="2:12" x14ac:dyDescent="0.25">
      <c r="B127" s="7"/>
      <c r="C127" s="7"/>
      <c r="D127" s="5"/>
      <c r="E127" s="5">
        <v>4227</v>
      </c>
      <c r="F127" s="43" t="s">
        <v>92</v>
      </c>
      <c r="G127" s="45">
        <v>96117.03</v>
      </c>
      <c r="H127" s="51">
        <v>119430</v>
      </c>
      <c r="I127" s="51">
        <v>119430</v>
      </c>
      <c r="J127" s="45">
        <v>82287.490000000005</v>
      </c>
      <c r="K127" s="45">
        <f t="shared" si="44"/>
        <v>85.611769319131071</v>
      </c>
      <c r="L127" s="45">
        <f t="shared" si="39"/>
        <v>68.900184208322869</v>
      </c>
    </row>
    <row r="128" spans="2:12" x14ac:dyDescent="0.25">
      <c r="B128" s="7"/>
      <c r="C128" s="7"/>
      <c r="D128" s="5">
        <v>423</v>
      </c>
      <c r="E128" s="5"/>
      <c r="F128" s="43" t="s">
        <v>146</v>
      </c>
      <c r="G128" s="51">
        <f t="shared" ref="G128:J128" si="52">SUM(G129)</f>
        <v>12900</v>
      </c>
      <c r="H128" s="51">
        <f t="shared" si="52"/>
        <v>155000</v>
      </c>
      <c r="I128" s="51">
        <f t="shared" si="52"/>
        <v>155000</v>
      </c>
      <c r="J128" s="51">
        <f t="shared" si="52"/>
        <v>33189</v>
      </c>
      <c r="K128" s="45">
        <f t="shared" si="44"/>
        <v>257.27906976744185</v>
      </c>
      <c r="L128" s="45">
        <f t="shared" si="39"/>
        <v>21.412258064516131</v>
      </c>
    </row>
    <row r="129" spans="2:12" x14ac:dyDescent="0.25">
      <c r="B129" s="7"/>
      <c r="C129" s="7"/>
      <c r="D129" s="5"/>
      <c r="E129" s="5">
        <v>4231</v>
      </c>
      <c r="F129" s="43" t="s">
        <v>84</v>
      </c>
      <c r="G129" s="45">
        <v>12900</v>
      </c>
      <c r="H129" s="51">
        <v>155000</v>
      </c>
      <c r="I129" s="51">
        <v>155000</v>
      </c>
      <c r="J129" s="45">
        <v>33189</v>
      </c>
      <c r="K129" s="45">
        <f t="shared" si="44"/>
        <v>257.27906976744185</v>
      </c>
      <c r="L129" s="45">
        <f t="shared" si="39"/>
        <v>21.412258064516131</v>
      </c>
    </row>
    <row r="130" spans="2:12" x14ac:dyDescent="0.25">
      <c r="B130" s="7"/>
      <c r="C130" s="7"/>
      <c r="D130" s="5">
        <v>424</v>
      </c>
      <c r="E130" s="5"/>
      <c r="F130" s="43" t="s">
        <v>188</v>
      </c>
      <c r="G130" s="51">
        <f t="shared" ref="G130:J132" si="53">SUM(G131)</f>
        <v>0</v>
      </c>
      <c r="H130" s="51">
        <f>SUM(H131)</f>
        <v>0</v>
      </c>
      <c r="I130" s="51">
        <f>SUM(I131)</f>
        <v>0</v>
      </c>
      <c r="J130" s="51">
        <f t="shared" si="53"/>
        <v>9000</v>
      </c>
      <c r="K130" s="45"/>
      <c r="L130" s="45"/>
    </row>
    <row r="131" spans="2:12" x14ac:dyDescent="0.25">
      <c r="B131" s="7"/>
      <c r="C131" s="7"/>
      <c r="D131" s="5"/>
      <c r="E131" s="5">
        <v>4242</v>
      </c>
      <c r="F131" s="43" t="s">
        <v>189</v>
      </c>
      <c r="G131" s="45"/>
      <c r="H131" s="51">
        <v>0</v>
      </c>
      <c r="I131" s="51">
        <v>0</v>
      </c>
      <c r="J131" s="45">
        <v>9000</v>
      </c>
      <c r="K131" s="45"/>
      <c r="L131" s="45"/>
    </row>
    <row r="132" spans="2:12" x14ac:dyDescent="0.25">
      <c r="B132" s="7"/>
      <c r="C132" s="7"/>
      <c r="D132" s="5">
        <v>425</v>
      </c>
      <c r="E132" s="5"/>
      <c r="F132" s="43" t="s">
        <v>86</v>
      </c>
      <c r="G132" s="51">
        <f t="shared" si="53"/>
        <v>0</v>
      </c>
      <c r="H132" s="51">
        <f>SUM(H133)</f>
        <v>32600</v>
      </c>
      <c r="I132" s="51">
        <f>SUM(I133)</f>
        <v>32600</v>
      </c>
      <c r="J132" s="51">
        <f t="shared" si="53"/>
        <v>0</v>
      </c>
      <c r="K132" s="45"/>
      <c r="L132" s="45">
        <f t="shared" si="39"/>
        <v>0</v>
      </c>
    </row>
    <row r="133" spans="2:12" x14ac:dyDescent="0.25">
      <c r="B133" s="7"/>
      <c r="C133" s="7"/>
      <c r="D133" s="5"/>
      <c r="E133" s="5">
        <v>4252</v>
      </c>
      <c r="F133" s="43" t="s">
        <v>86</v>
      </c>
      <c r="G133" s="45"/>
      <c r="H133" s="51">
        <v>32600</v>
      </c>
      <c r="I133" s="51">
        <v>32600</v>
      </c>
      <c r="J133" s="45"/>
      <c r="K133" s="45"/>
      <c r="L133" s="45">
        <f t="shared" si="39"/>
        <v>0</v>
      </c>
    </row>
    <row r="134" spans="2:12" x14ac:dyDescent="0.25">
      <c r="B134" s="7"/>
      <c r="C134" s="7">
        <v>45</v>
      </c>
      <c r="D134" s="5"/>
      <c r="E134" s="5"/>
      <c r="F134" s="43" t="s">
        <v>147</v>
      </c>
      <c r="G134" s="51">
        <f t="shared" ref="G134" si="54">SUM(G135,G137)</f>
        <v>8092.35</v>
      </c>
      <c r="H134" s="51">
        <f t="shared" ref="H134:I134" si="55">SUM(H135,H137)</f>
        <v>0</v>
      </c>
      <c r="I134" s="51">
        <f t="shared" si="55"/>
        <v>0</v>
      </c>
      <c r="J134" s="51">
        <f t="shared" ref="J134" si="56">SUM(J135,J137)</f>
        <v>19414.900000000001</v>
      </c>
      <c r="K134" s="45">
        <f>J134/G134*100</f>
        <v>239.91671146205985</v>
      </c>
      <c r="L134" s="45"/>
    </row>
    <row r="135" spans="2:12" x14ac:dyDescent="0.25">
      <c r="B135" s="7"/>
      <c r="C135" s="7"/>
      <c r="D135" s="5">
        <v>451</v>
      </c>
      <c r="E135" s="5"/>
      <c r="F135" s="43" t="s">
        <v>148</v>
      </c>
      <c r="G135" s="51">
        <f t="shared" ref="G135:J135" si="57">SUM(G136)</f>
        <v>7719.67</v>
      </c>
      <c r="H135" s="51">
        <f t="shared" si="57"/>
        <v>0</v>
      </c>
      <c r="I135" s="51">
        <f t="shared" si="57"/>
        <v>0</v>
      </c>
      <c r="J135" s="51">
        <f t="shared" si="57"/>
        <v>0</v>
      </c>
      <c r="K135" s="45">
        <f>J135/G135*100</f>
        <v>0</v>
      </c>
      <c r="L135" s="45"/>
    </row>
    <row r="136" spans="2:12" x14ac:dyDescent="0.25">
      <c r="B136" s="7"/>
      <c r="C136" s="7"/>
      <c r="D136" s="5"/>
      <c r="E136" s="5">
        <v>4511</v>
      </c>
      <c r="F136" s="43" t="s">
        <v>148</v>
      </c>
      <c r="G136" s="45">
        <v>7719.67</v>
      </c>
      <c r="H136" s="51">
        <v>0</v>
      </c>
      <c r="I136" s="51">
        <v>0</v>
      </c>
      <c r="J136" s="45"/>
      <c r="K136" s="45">
        <f>J136/G136*100</f>
        <v>0</v>
      </c>
      <c r="L136" s="45"/>
    </row>
    <row r="137" spans="2:12" x14ac:dyDescent="0.25">
      <c r="B137" s="7"/>
      <c r="C137" s="7"/>
      <c r="D137" s="5">
        <v>452</v>
      </c>
      <c r="E137" s="5"/>
      <c r="F137" s="43" t="s">
        <v>149</v>
      </c>
      <c r="G137" s="51">
        <f t="shared" ref="G137:J137" si="58">SUM(G138)</f>
        <v>372.68</v>
      </c>
      <c r="H137" s="51">
        <f t="shared" si="58"/>
        <v>0</v>
      </c>
      <c r="I137" s="51">
        <f t="shared" si="58"/>
        <v>0</v>
      </c>
      <c r="J137" s="51">
        <f t="shared" si="58"/>
        <v>19414.900000000001</v>
      </c>
      <c r="K137" s="45">
        <f>J137/G137*100</f>
        <v>5209.536331437158</v>
      </c>
      <c r="L137" s="45"/>
    </row>
    <row r="138" spans="2:12" x14ac:dyDescent="0.25">
      <c r="B138" s="7"/>
      <c r="C138" s="7"/>
      <c r="D138" s="5"/>
      <c r="E138" s="5">
        <v>4521</v>
      </c>
      <c r="F138" s="43" t="s">
        <v>149</v>
      </c>
      <c r="G138" s="45">
        <v>372.68</v>
      </c>
      <c r="H138" s="51">
        <v>0</v>
      </c>
      <c r="I138" s="51">
        <v>0</v>
      </c>
      <c r="J138" s="45">
        <v>19414.900000000001</v>
      </c>
      <c r="K138" s="45">
        <f>J138/G138*100</f>
        <v>5209.536331437158</v>
      </c>
      <c r="L138" s="45"/>
    </row>
    <row r="141" spans="2:12" ht="15" customHeight="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2:12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2:12" ht="4.5" customHeight="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</sheetData>
  <mergeCells count="11">
    <mergeCell ref="B110:F110"/>
    <mergeCell ref="B111:F111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pageMargins left="0.70866141732283472" right="0.70866141732283472" top="0.35433070866141736" bottom="0.35433070866141736" header="0.31496062992125984" footer="0.31496062992125984"/>
  <pageSetup paperSize="9" scale="49" fitToHeight="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9"/>
  <sheetViews>
    <sheetView workbookViewId="0">
      <selection activeCell="C19" sqref="C19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3"/>
      <c r="D1" s="2"/>
      <c r="E1" s="2"/>
      <c r="F1" s="3"/>
      <c r="G1" s="3"/>
      <c r="H1" s="3"/>
    </row>
    <row r="2" spans="2:8" ht="15.75" customHeight="1" x14ac:dyDescent="0.25">
      <c r="B2" s="92" t="s">
        <v>34</v>
      </c>
      <c r="C2" s="92"/>
      <c r="D2" s="92"/>
      <c r="E2" s="92"/>
      <c r="F2" s="92"/>
      <c r="G2" s="92"/>
      <c r="H2" s="92"/>
    </row>
    <row r="3" spans="2:8" ht="18" x14ac:dyDescent="0.25">
      <c r="B3" s="36"/>
      <c r="C3" s="37"/>
      <c r="D3" s="36"/>
      <c r="E3" s="36"/>
      <c r="F3" s="37"/>
      <c r="G3" s="37"/>
      <c r="H3" s="37"/>
    </row>
    <row r="4" spans="2:8" ht="33.75" customHeight="1" x14ac:dyDescent="0.25">
      <c r="B4" s="23" t="s">
        <v>7</v>
      </c>
      <c r="C4" s="23" t="s">
        <v>19</v>
      </c>
      <c r="D4" s="23" t="s">
        <v>184</v>
      </c>
      <c r="E4" s="23" t="s">
        <v>194</v>
      </c>
      <c r="F4" s="23" t="s">
        <v>183</v>
      </c>
      <c r="G4" s="23" t="s">
        <v>20</v>
      </c>
      <c r="H4" s="23" t="s">
        <v>40</v>
      </c>
    </row>
    <row r="5" spans="2:8" x14ac:dyDescent="0.25">
      <c r="B5" s="23">
        <v>1</v>
      </c>
      <c r="C5" s="25">
        <v>2</v>
      </c>
      <c r="D5" s="25">
        <v>3</v>
      </c>
      <c r="E5" s="25">
        <v>3</v>
      </c>
      <c r="F5" s="25">
        <v>4</v>
      </c>
      <c r="G5" s="25" t="s">
        <v>192</v>
      </c>
      <c r="H5" s="25" t="s">
        <v>193</v>
      </c>
    </row>
    <row r="6" spans="2:8" x14ac:dyDescent="0.25">
      <c r="B6" s="58" t="s">
        <v>37</v>
      </c>
      <c r="C6" s="61">
        <f>SUM(C7,C9,C11,C13,C17,C19)</f>
        <v>3946602.14</v>
      </c>
      <c r="D6" s="61">
        <f>SUM(D7,D9,D11,D13,D17,D19)</f>
        <v>11070092</v>
      </c>
      <c r="E6" s="61">
        <f>SUM(E7,E9,E11,E13,E17,E19)</f>
        <v>11070092</v>
      </c>
      <c r="F6" s="61">
        <f>SUM(F7,F9,F11,F13,F17,F19)</f>
        <v>4027275.46</v>
      </c>
      <c r="G6" s="60">
        <f>F6/C6*100</f>
        <v>102.04412092068647</v>
      </c>
      <c r="H6" s="60">
        <f>F6/E6*100</f>
        <v>36.379783112913607</v>
      </c>
    </row>
    <row r="7" spans="2:8" x14ac:dyDescent="0.25">
      <c r="B7" s="4" t="s">
        <v>13</v>
      </c>
      <c r="C7" s="51">
        <f t="shared" ref="C7:F7" si="0">SUM(C8)</f>
        <v>265446</v>
      </c>
      <c r="D7" s="51">
        <f t="shared" si="0"/>
        <v>0</v>
      </c>
      <c r="E7" s="51">
        <f t="shared" si="0"/>
        <v>0</v>
      </c>
      <c r="F7" s="51">
        <f t="shared" si="0"/>
        <v>0</v>
      </c>
      <c r="G7" s="45">
        <f t="shared" ref="G7:G28" si="1">F7/C7*100</f>
        <v>0</v>
      </c>
      <c r="H7" s="45"/>
    </row>
    <row r="8" spans="2:8" x14ac:dyDescent="0.25">
      <c r="B8" s="13" t="s">
        <v>14</v>
      </c>
      <c r="C8" s="51">
        <v>265446</v>
      </c>
      <c r="D8" s="51"/>
      <c r="E8" s="51">
        <v>0</v>
      </c>
      <c r="F8" s="51">
        <v>0</v>
      </c>
      <c r="G8" s="45">
        <f t="shared" si="1"/>
        <v>0</v>
      </c>
      <c r="H8" s="45"/>
    </row>
    <row r="9" spans="2:8" x14ac:dyDescent="0.25">
      <c r="B9" s="4" t="s">
        <v>15</v>
      </c>
      <c r="C9" s="51">
        <f t="shared" ref="C9:F9" si="2">SUM(C10)</f>
        <v>1991097.01</v>
      </c>
      <c r="D9" s="51">
        <f t="shared" si="2"/>
        <v>6207105</v>
      </c>
      <c r="E9" s="51">
        <f t="shared" si="2"/>
        <v>6207105</v>
      </c>
      <c r="F9" s="51">
        <f t="shared" si="2"/>
        <v>2113269.81</v>
      </c>
      <c r="G9" s="45">
        <f t="shared" si="1"/>
        <v>106.13595416930491</v>
      </c>
      <c r="H9" s="45">
        <f t="shared" ref="H9:H28" si="3">F9/E9*100</f>
        <v>34.045981339126698</v>
      </c>
    </row>
    <row r="10" spans="2:8" x14ac:dyDescent="0.25">
      <c r="B10" s="14" t="s">
        <v>16</v>
      </c>
      <c r="C10" s="51">
        <v>1991097.01</v>
      </c>
      <c r="D10" s="51">
        <v>6207105</v>
      </c>
      <c r="E10" s="51">
        <v>6207105</v>
      </c>
      <c r="F10" s="51">
        <v>2113269.81</v>
      </c>
      <c r="G10" s="45">
        <f t="shared" si="1"/>
        <v>106.13595416930491</v>
      </c>
      <c r="H10" s="45">
        <f t="shared" si="3"/>
        <v>34.045981339126698</v>
      </c>
    </row>
    <row r="11" spans="2:8" x14ac:dyDescent="0.25">
      <c r="B11" s="4" t="s">
        <v>150</v>
      </c>
      <c r="C11" s="51">
        <f t="shared" ref="C11:F11" si="4">SUM(C12)</f>
        <v>1597453.62</v>
      </c>
      <c r="D11" s="51">
        <f t="shared" si="4"/>
        <v>4307500</v>
      </c>
      <c r="E11" s="51">
        <f t="shared" si="4"/>
        <v>4307500</v>
      </c>
      <c r="F11" s="51">
        <f t="shared" si="4"/>
        <v>1680279.18</v>
      </c>
      <c r="G11" s="45">
        <f t="shared" si="1"/>
        <v>105.18484912256794</v>
      </c>
      <c r="H11" s="45">
        <f t="shared" si="3"/>
        <v>39.008222402785833</v>
      </c>
    </row>
    <row r="12" spans="2:8" x14ac:dyDescent="0.25">
      <c r="B12" s="14" t="s">
        <v>151</v>
      </c>
      <c r="C12" s="51">
        <v>1597453.62</v>
      </c>
      <c r="D12" s="51">
        <v>4307500</v>
      </c>
      <c r="E12" s="51">
        <v>4307500</v>
      </c>
      <c r="F12" s="51">
        <v>1680279.18</v>
      </c>
      <c r="G12" s="45">
        <f t="shared" si="1"/>
        <v>105.18484912256794</v>
      </c>
      <c r="H12" s="45">
        <f t="shared" si="3"/>
        <v>39.008222402785833</v>
      </c>
    </row>
    <row r="13" spans="2:8" x14ac:dyDescent="0.25">
      <c r="B13" s="4" t="s">
        <v>152</v>
      </c>
      <c r="C13" s="51">
        <f t="shared" ref="C13" si="5">SUM(C14:C16)</f>
        <v>85905.67</v>
      </c>
      <c r="D13" s="51">
        <f t="shared" ref="D13:F13" si="6">SUM(D14:D16)</f>
        <v>475487</v>
      </c>
      <c r="E13" s="51">
        <f t="shared" ref="E13" si="7">SUM(E14:E16)</f>
        <v>475487</v>
      </c>
      <c r="F13" s="51">
        <f t="shared" si="6"/>
        <v>232232.57</v>
      </c>
      <c r="G13" s="45">
        <f t="shared" si="1"/>
        <v>270.33439119909082</v>
      </c>
      <c r="H13" s="45">
        <f t="shared" si="3"/>
        <v>48.840992498217616</v>
      </c>
    </row>
    <row r="14" spans="2:8" x14ac:dyDescent="0.25">
      <c r="B14" s="14" t="s">
        <v>153</v>
      </c>
      <c r="C14" s="45">
        <v>43505.09</v>
      </c>
      <c r="D14" s="51"/>
      <c r="E14" s="51">
        <v>0</v>
      </c>
      <c r="F14" s="45">
        <v>0</v>
      </c>
      <c r="G14" s="45"/>
      <c r="H14" s="45"/>
    </row>
    <row r="15" spans="2:8" x14ac:dyDescent="0.25">
      <c r="B15" s="14" t="s">
        <v>154</v>
      </c>
      <c r="C15" s="45">
        <v>42400.58</v>
      </c>
      <c r="D15" s="51">
        <v>475487</v>
      </c>
      <c r="E15" s="51">
        <v>475487</v>
      </c>
      <c r="F15" s="45">
        <v>232232.57</v>
      </c>
      <c r="G15" s="45">
        <f t="shared" si="1"/>
        <v>547.71083320086666</v>
      </c>
      <c r="H15" s="45">
        <f t="shared" si="3"/>
        <v>48.840992498217616</v>
      </c>
    </row>
    <row r="16" spans="2:8" x14ac:dyDescent="0.25">
      <c r="B16" s="14" t="s">
        <v>155</v>
      </c>
      <c r="C16" s="45"/>
      <c r="D16" s="51"/>
      <c r="E16" s="51"/>
      <c r="F16" s="45"/>
      <c r="G16" s="45" t="e">
        <f t="shared" si="1"/>
        <v>#DIV/0!</v>
      </c>
      <c r="H16" s="45"/>
    </row>
    <row r="17" spans="2:8" x14ac:dyDescent="0.25">
      <c r="B17" s="4" t="s">
        <v>158</v>
      </c>
      <c r="C17" s="51">
        <f t="shared" ref="C17" si="8">SUM(C18)</f>
        <v>3522.66</v>
      </c>
      <c r="D17" s="51">
        <f t="shared" ref="D17:E17" si="9">SUM(D18)</f>
        <v>0</v>
      </c>
      <c r="E17" s="51">
        <f t="shared" si="9"/>
        <v>0</v>
      </c>
      <c r="F17" s="51">
        <f t="shared" ref="F17" si="10">SUM(F18)</f>
        <v>693.9</v>
      </c>
      <c r="G17" s="45">
        <f t="shared" si="1"/>
        <v>19.698182623358484</v>
      </c>
      <c r="H17" s="45"/>
    </row>
    <row r="18" spans="2:8" x14ac:dyDescent="0.25">
      <c r="B18" s="14" t="s">
        <v>159</v>
      </c>
      <c r="C18" s="51">
        <v>3522.66</v>
      </c>
      <c r="D18" s="51"/>
      <c r="E18" s="51">
        <v>0</v>
      </c>
      <c r="F18" s="51">
        <v>693.9</v>
      </c>
      <c r="G18" s="45">
        <f t="shared" si="1"/>
        <v>19.698182623358484</v>
      </c>
      <c r="H18" s="45"/>
    </row>
    <row r="19" spans="2:8" ht="38.25" x14ac:dyDescent="0.25">
      <c r="B19" s="9" t="s">
        <v>156</v>
      </c>
      <c r="C19" s="51">
        <f t="shared" ref="C19:F19" si="11">SUM(C20)</f>
        <v>3177.18</v>
      </c>
      <c r="D19" s="51">
        <f t="shared" si="11"/>
        <v>80000</v>
      </c>
      <c r="E19" s="51">
        <f t="shared" si="11"/>
        <v>80000</v>
      </c>
      <c r="F19" s="51">
        <f t="shared" si="11"/>
        <v>800</v>
      </c>
      <c r="G19" s="45">
        <f t="shared" si="1"/>
        <v>25.179561749727746</v>
      </c>
      <c r="H19" s="45">
        <f t="shared" si="3"/>
        <v>1</v>
      </c>
    </row>
    <row r="20" spans="2:8" ht="38.25" x14ac:dyDescent="0.25">
      <c r="B20" s="14" t="s">
        <v>157</v>
      </c>
      <c r="C20" s="45">
        <v>3177.18</v>
      </c>
      <c r="D20" s="51">
        <v>80000</v>
      </c>
      <c r="E20" s="51">
        <v>80000</v>
      </c>
      <c r="F20" s="45">
        <v>800</v>
      </c>
      <c r="G20" s="45">
        <f t="shared" si="1"/>
        <v>25.179561749727746</v>
      </c>
      <c r="H20" s="45">
        <f t="shared" si="3"/>
        <v>1</v>
      </c>
    </row>
    <row r="21" spans="2:8" x14ac:dyDescent="0.25">
      <c r="B21" s="14"/>
      <c r="C21" s="85"/>
      <c r="D21" s="51"/>
      <c r="E21" s="57"/>
      <c r="F21" s="85"/>
      <c r="G21" s="45"/>
      <c r="H21" s="45"/>
    </row>
    <row r="22" spans="2:8" ht="15.75" customHeight="1" x14ac:dyDescent="0.25">
      <c r="B22" s="58" t="s">
        <v>38</v>
      </c>
      <c r="C22" s="59">
        <f>SUM(C23,C25,C27,C29,C32,C34)</f>
        <v>4702932.4400000004</v>
      </c>
      <c r="D22" s="59">
        <f>SUM(D23,D25,D27,D29,D32,D34)</f>
        <v>11065872</v>
      </c>
      <c r="E22" s="59">
        <f>SUM(E23,E25,E27,E29,E32,E34)</f>
        <v>11065872</v>
      </c>
      <c r="F22" s="59">
        <f>SUM(F23,F25,F27,F29,F32,F34)</f>
        <v>6202484.79</v>
      </c>
      <c r="G22" s="62">
        <f t="shared" si="1"/>
        <v>131.88547505479366</v>
      </c>
      <c r="H22" s="62">
        <f t="shared" si="3"/>
        <v>56.050574143637299</v>
      </c>
    </row>
    <row r="23" spans="2:8" ht="15.75" customHeight="1" x14ac:dyDescent="0.25">
      <c r="B23" s="4" t="s">
        <v>13</v>
      </c>
      <c r="C23" s="51">
        <f t="shared" ref="C23:F23" si="12">SUM(C24)</f>
        <v>265446</v>
      </c>
      <c r="D23" s="51">
        <f t="shared" si="12"/>
        <v>0</v>
      </c>
      <c r="E23" s="51">
        <f t="shared" si="12"/>
        <v>0</v>
      </c>
      <c r="F23" s="51">
        <f t="shared" si="12"/>
        <v>0</v>
      </c>
      <c r="G23" s="45">
        <f t="shared" si="1"/>
        <v>0</v>
      </c>
      <c r="H23" s="45"/>
    </row>
    <row r="24" spans="2:8" x14ac:dyDescent="0.25">
      <c r="B24" s="13" t="s">
        <v>14</v>
      </c>
      <c r="C24" s="51">
        <v>265446</v>
      </c>
      <c r="D24" s="51"/>
      <c r="E24" s="51"/>
      <c r="F24" s="51">
        <v>0</v>
      </c>
      <c r="G24" s="45">
        <f t="shared" si="1"/>
        <v>0</v>
      </c>
      <c r="H24" s="45"/>
    </row>
    <row r="25" spans="2:8" x14ac:dyDescent="0.25">
      <c r="B25" s="4" t="s">
        <v>15</v>
      </c>
      <c r="C25" s="51">
        <f t="shared" ref="C25:F25" si="13">SUM(C26)</f>
        <v>2615335.75</v>
      </c>
      <c r="D25" s="51">
        <f t="shared" si="13"/>
        <v>6203648</v>
      </c>
      <c r="E25" s="51">
        <f t="shared" si="13"/>
        <v>6203648</v>
      </c>
      <c r="F25" s="51">
        <f t="shared" si="13"/>
        <v>3478480.86</v>
      </c>
      <c r="G25" s="45">
        <f t="shared" si="1"/>
        <v>133.00322377346768</v>
      </c>
      <c r="H25" s="45">
        <f t="shared" si="3"/>
        <v>56.071538230408947</v>
      </c>
    </row>
    <row r="26" spans="2:8" x14ac:dyDescent="0.25">
      <c r="B26" s="14" t="s">
        <v>16</v>
      </c>
      <c r="C26" s="51">
        <f>2434488.93+180846.82</f>
        <v>2615335.75</v>
      </c>
      <c r="D26" s="51">
        <v>6203648</v>
      </c>
      <c r="E26" s="51">
        <v>6203648</v>
      </c>
      <c r="F26" s="51">
        <v>3478480.86</v>
      </c>
      <c r="G26" s="45">
        <f t="shared" si="1"/>
        <v>133.00322377346768</v>
      </c>
      <c r="H26" s="45">
        <f t="shared" si="3"/>
        <v>56.071538230408947</v>
      </c>
    </row>
    <row r="27" spans="2:8" x14ac:dyDescent="0.25">
      <c r="B27" s="4" t="s">
        <v>150</v>
      </c>
      <c r="C27" s="51">
        <f t="shared" ref="C27:F27" si="14">SUM(C28)</f>
        <v>1804746.21</v>
      </c>
      <c r="D27" s="51">
        <f t="shared" si="14"/>
        <v>4306737</v>
      </c>
      <c r="E27" s="51">
        <f t="shared" si="14"/>
        <v>4306737</v>
      </c>
      <c r="F27" s="51">
        <f t="shared" si="14"/>
        <v>2499743.27</v>
      </c>
      <c r="G27" s="45">
        <f t="shared" si="1"/>
        <v>138.50940681570955</v>
      </c>
      <c r="H27" s="45">
        <f t="shared" si="3"/>
        <v>58.042626471038282</v>
      </c>
    </row>
    <row r="28" spans="2:8" x14ac:dyDescent="0.25">
      <c r="B28" s="14" t="s">
        <v>151</v>
      </c>
      <c r="C28" s="51">
        <f>1764970.25+39775.96</f>
        <v>1804746.21</v>
      </c>
      <c r="D28" s="51">
        <v>4306737</v>
      </c>
      <c r="E28" s="51">
        <v>4306737</v>
      </c>
      <c r="F28" s="51">
        <v>2499743.27</v>
      </c>
      <c r="G28" s="45">
        <f t="shared" si="1"/>
        <v>138.50940681570955</v>
      </c>
      <c r="H28" s="45">
        <f t="shared" si="3"/>
        <v>58.042626471038282</v>
      </c>
    </row>
    <row r="29" spans="2:8" x14ac:dyDescent="0.25">
      <c r="B29" s="4" t="s">
        <v>152</v>
      </c>
      <c r="C29" s="51">
        <f>SUM(C30:C31)</f>
        <v>16881.82</v>
      </c>
      <c r="D29" s="51">
        <f>SUM(D30:D31)</f>
        <v>475487</v>
      </c>
      <c r="E29" s="51">
        <f>SUM(E30:E31)</f>
        <v>475487</v>
      </c>
      <c r="F29" s="51">
        <f>SUM(F30:F31)</f>
        <v>222866.76</v>
      </c>
      <c r="G29" s="45">
        <f t="shared" ref="G29:G31" si="15">F29/C29*100</f>
        <v>1320.1583715499871</v>
      </c>
      <c r="H29" s="45">
        <f t="shared" ref="H29:H35" si="16">F29/E29*100</f>
        <v>46.87126251611506</v>
      </c>
    </row>
    <row r="30" spans="2:8" hidden="1" x14ac:dyDescent="0.25">
      <c r="B30" s="14" t="s">
        <v>153</v>
      </c>
      <c r="C30" s="51"/>
      <c r="D30" s="51"/>
      <c r="E30" s="51"/>
      <c r="F30" s="51"/>
      <c r="G30" s="45"/>
      <c r="H30" s="45"/>
    </row>
    <row r="31" spans="2:8" x14ac:dyDescent="0.25">
      <c r="B31" s="14" t="s">
        <v>154</v>
      </c>
      <c r="C31" s="51">
        <v>16881.82</v>
      </c>
      <c r="D31" s="51">
        <v>475487</v>
      </c>
      <c r="E31" s="51">
        <v>475487</v>
      </c>
      <c r="F31" s="51">
        <v>222866.76</v>
      </c>
      <c r="G31" s="45">
        <f t="shared" si="15"/>
        <v>1320.1583715499871</v>
      </c>
      <c r="H31" s="45">
        <f t="shared" si="16"/>
        <v>46.87126251611506</v>
      </c>
    </row>
    <row r="32" spans="2:8" x14ac:dyDescent="0.25">
      <c r="B32" s="4" t="s">
        <v>158</v>
      </c>
      <c r="C32" s="51">
        <f t="shared" ref="C32:F32" si="17">SUM(C33)</f>
        <v>522.66</v>
      </c>
      <c r="D32" s="51">
        <f t="shared" si="17"/>
        <v>0</v>
      </c>
      <c r="E32" s="51">
        <f t="shared" si="17"/>
        <v>0</v>
      </c>
      <c r="F32" s="51">
        <f t="shared" si="17"/>
        <v>593.9</v>
      </c>
      <c r="G32" s="45"/>
      <c r="H32" s="45"/>
    </row>
    <row r="33" spans="2:11" x14ac:dyDescent="0.25">
      <c r="B33" s="14" t="s">
        <v>159</v>
      </c>
      <c r="C33" s="51">
        <v>522.66</v>
      </c>
      <c r="D33" s="51"/>
      <c r="E33" s="51"/>
      <c r="F33" s="51">
        <v>593.9</v>
      </c>
      <c r="G33" s="45"/>
      <c r="H33" s="45"/>
    </row>
    <row r="34" spans="2:11" ht="38.25" x14ac:dyDescent="0.25">
      <c r="B34" s="9" t="s">
        <v>156</v>
      </c>
      <c r="C34" s="51">
        <f t="shared" ref="C34:F34" si="18">SUM(C35)</f>
        <v>0</v>
      </c>
      <c r="D34" s="51">
        <f t="shared" si="18"/>
        <v>80000</v>
      </c>
      <c r="E34" s="51">
        <f t="shared" si="18"/>
        <v>80000</v>
      </c>
      <c r="F34" s="51">
        <f t="shared" si="18"/>
        <v>800</v>
      </c>
      <c r="G34" s="45"/>
      <c r="H34" s="45">
        <f t="shared" si="16"/>
        <v>1</v>
      </c>
    </row>
    <row r="35" spans="2:11" ht="38.25" x14ac:dyDescent="0.25">
      <c r="B35" s="14" t="s">
        <v>157</v>
      </c>
      <c r="C35" s="85">
        <v>0</v>
      </c>
      <c r="D35" s="51">
        <v>80000</v>
      </c>
      <c r="E35" s="51">
        <v>80000</v>
      </c>
      <c r="F35" s="45">
        <v>800</v>
      </c>
      <c r="G35" s="45"/>
      <c r="H35" s="45">
        <f t="shared" si="16"/>
        <v>1</v>
      </c>
    </row>
    <row r="37" spans="2:11" ht="15" customHeigh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2:1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2:1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</row>
  </sheetData>
  <mergeCells count="1">
    <mergeCell ref="B2:H2"/>
  </mergeCells>
  <phoneticPr fontId="21" type="noConversion"/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B15" sqref="B15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2" t="s">
        <v>35</v>
      </c>
      <c r="C2" s="92"/>
      <c r="D2" s="92"/>
      <c r="E2" s="92"/>
      <c r="F2" s="92"/>
      <c r="G2" s="92"/>
      <c r="H2" s="92"/>
    </row>
    <row r="3" spans="2:8" ht="18" x14ac:dyDescent="0.25">
      <c r="B3" s="36"/>
      <c r="C3" s="36"/>
      <c r="D3" s="36"/>
      <c r="E3" s="36"/>
      <c r="F3" s="37"/>
      <c r="G3" s="37"/>
      <c r="H3" s="37"/>
    </row>
    <row r="4" spans="2:8" ht="25.5" x14ac:dyDescent="0.25">
      <c r="B4" s="23" t="s">
        <v>7</v>
      </c>
      <c r="C4" s="23" t="s">
        <v>47</v>
      </c>
      <c r="D4" s="23" t="s">
        <v>184</v>
      </c>
      <c r="E4" s="23" t="s">
        <v>194</v>
      </c>
      <c r="F4" s="23" t="s">
        <v>185</v>
      </c>
      <c r="G4" s="23" t="s">
        <v>20</v>
      </c>
      <c r="H4" s="23" t="s">
        <v>40</v>
      </c>
    </row>
    <row r="5" spans="2:8" x14ac:dyDescent="0.25">
      <c r="B5" s="25">
        <v>1</v>
      </c>
      <c r="C5" s="25">
        <v>2</v>
      </c>
      <c r="D5" s="25">
        <v>3</v>
      </c>
      <c r="E5" s="25">
        <v>3</v>
      </c>
      <c r="F5" s="25">
        <v>4</v>
      </c>
      <c r="G5" s="25" t="s">
        <v>192</v>
      </c>
      <c r="H5" s="25" t="s">
        <v>193</v>
      </c>
    </row>
    <row r="6" spans="2:8" ht="15.75" customHeight="1" x14ac:dyDescent="0.25">
      <c r="B6" s="58" t="s">
        <v>38</v>
      </c>
      <c r="C6" s="73">
        <f t="shared" ref="C6:F7" si="0">SUM(C7)</f>
        <v>4702932.4400000004</v>
      </c>
      <c r="D6" s="73">
        <f t="shared" si="0"/>
        <v>11065872</v>
      </c>
      <c r="E6" s="73">
        <f t="shared" si="0"/>
        <v>11065872</v>
      </c>
      <c r="F6" s="73">
        <f t="shared" si="0"/>
        <v>6202484.79</v>
      </c>
      <c r="G6" s="87">
        <f>F6/C6*100</f>
        <v>131.88547505479366</v>
      </c>
      <c r="H6" s="87">
        <f>F6/E6*100</f>
        <v>56.050574143637299</v>
      </c>
    </row>
    <row r="7" spans="2:8" ht="15.75" customHeight="1" x14ac:dyDescent="0.25">
      <c r="B7" s="4" t="s">
        <v>160</v>
      </c>
      <c r="C7" s="51">
        <f t="shared" si="0"/>
        <v>4702932.4400000004</v>
      </c>
      <c r="D7" s="51">
        <f t="shared" si="0"/>
        <v>11065872</v>
      </c>
      <c r="E7" s="51">
        <f t="shared" si="0"/>
        <v>11065872</v>
      </c>
      <c r="F7" s="51">
        <f t="shared" si="0"/>
        <v>6202484.79</v>
      </c>
      <c r="G7" s="45">
        <f>F7/C7*100</f>
        <v>131.88547505479366</v>
      </c>
      <c r="H7" s="45">
        <f t="shared" ref="H7:H8" si="1">F7/E7*100</f>
        <v>56.050574143637299</v>
      </c>
    </row>
    <row r="8" spans="2:8" x14ac:dyDescent="0.25">
      <c r="B8" s="8" t="s">
        <v>161</v>
      </c>
      <c r="C8" s="45">
        <v>4702932.4400000004</v>
      </c>
      <c r="D8" s="51">
        <v>11065872</v>
      </c>
      <c r="E8" s="51">
        <v>11065872</v>
      </c>
      <c r="F8" s="45">
        <v>6202484.79</v>
      </c>
      <c r="G8" s="45">
        <f>F8/C8*100</f>
        <v>131.88547505479366</v>
      </c>
      <c r="H8" s="45">
        <f t="shared" si="1"/>
        <v>56.050574143637299</v>
      </c>
    </row>
    <row r="10" spans="2:8" x14ac:dyDescent="0.25">
      <c r="B10" s="22"/>
      <c r="C10" s="22"/>
      <c r="D10" s="22"/>
      <c r="E10" s="22"/>
      <c r="F10" s="22"/>
      <c r="G10" s="22"/>
      <c r="H10" s="22"/>
    </row>
    <row r="11" spans="2:8" x14ac:dyDescent="0.25">
      <c r="B11" s="22"/>
      <c r="C11" s="22"/>
      <c r="D11" s="22"/>
      <c r="E11" s="22"/>
      <c r="F11" s="22"/>
      <c r="G11" s="22"/>
      <c r="H11" s="22"/>
    </row>
    <row r="12" spans="2:8" x14ac:dyDescent="0.25">
      <c r="B12" s="22"/>
      <c r="C12" s="22"/>
      <c r="D12" s="22"/>
      <c r="E12" s="22"/>
      <c r="F12" s="22"/>
      <c r="G12" s="22"/>
      <c r="H12" s="22"/>
    </row>
  </sheetData>
  <mergeCells count="1">
    <mergeCell ref="B2:H2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08AF-50AB-4361-8F09-DD1CE4F60C67}">
  <sheetPr>
    <pageSetUpPr fitToPage="1"/>
  </sheetPr>
  <dimension ref="B1:J170"/>
  <sheetViews>
    <sheetView zoomScaleNormal="100" workbookViewId="0">
      <selection activeCell="B8" sqref="B8:D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3" customWidth="1"/>
    <col min="5" max="5" width="43.140625" style="44" customWidth="1"/>
    <col min="6" max="6" width="24.28515625" hidden="1" customWidth="1"/>
    <col min="7" max="8" width="24.28515625" customWidth="1"/>
    <col min="9" max="9" width="15.7109375" customWidth="1"/>
    <col min="10" max="10" width="24.28515625" customWidth="1"/>
  </cols>
  <sheetData>
    <row r="1" spans="2:10" ht="18" x14ac:dyDescent="0.25">
      <c r="B1" s="2"/>
      <c r="C1" s="2"/>
      <c r="D1" s="2"/>
      <c r="E1" s="47"/>
      <c r="F1" s="2"/>
      <c r="G1" s="2"/>
      <c r="H1" s="2"/>
      <c r="I1" s="3"/>
      <c r="J1" s="3"/>
    </row>
    <row r="2" spans="2:10" ht="18" customHeight="1" x14ac:dyDescent="0.25">
      <c r="B2" s="92" t="s">
        <v>8</v>
      </c>
      <c r="C2" s="92"/>
      <c r="D2" s="92"/>
      <c r="E2" s="92"/>
      <c r="F2" s="92"/>
      <c r="G2" s="92"/>
      <c r="H2" s="92"/>
      <c r="I2" s="92"/>
      <c r="J2" s="16"/>
    </row>
    <row r="3" spans="2:10" ht="18" x14ac:dyDescent="0.25">
      <c r="B3" s="36"/>
      <c r="C3" s="36"/>
      <c r="D3" s="36"/>
      <c r="E3" s="48"/>
      <c r="F3" s="36"/>
      <c r="G3" s="36"/>
      <c r="H3" s="36"/>
      <c r="I3" s="37"/>
      <c r="J3" s="3"/>
    </row>
    <row r="4" spans="2:10" ht="15.75" x14ac:dyDescent="0.25">
      <c r="B4" s="137" t="s">
        <v>48</v>
      </c>
      <c r="C4" s="137"/>
      <c r="D4" s="137"/>
      <c r="E4" s="137"/>
      <c r="F4" s="137"/>
      <c r="G4" s="137"/>
      <c r="H4" s="137"/>
      <c r="I4" s="137"/>
    </row>
    <row r="5" spans="2:10" ht="18" x14ac:dyDescent="0.25">
      <c r="B5" s="36"/>
      <c r="C5" s="36"/>
      <c r="D5" s="36"/>
      <c r="E5" s="48"/>
      <c r="F5" s="36"/>
      <c r="G5" s="36"/>
      <c r="H5" s="36"/>
      <c r="I5" s="37"/>
    </row>
    <row r="6" spans="2:10" ht="25.5" x14ac:dyDescent="0.25">
      <c r="B6" s="117" t="s">
        <v>7</v>
      </c>
      <c r="C6" s="118"/>
      <c r="D6" s="118"/>
      <c r="E6" s="119"/>
      <c r="F6" s="23" t="s">
        <v>184</v>
      </c>
      <c r="G6" s="23" t="s">
        <v>194</v>
      </c>
      <c r="H6" s="23" t="s">
        <v>185</v>
      </c>
      <c r="I6" s="23" t="s">
        <v>40</v>
      </c>
    </row>
    <row r="7" spans="2:10" s="26" customFormat="1" ht="11.25" x14ac:dyDescent="0.2">
      <c r="B7" s="120">
        <v>1</v>
      </c>
      <c r="C7" s="121"/>
      <c r="D7" s="121"/>
      <c r="E7" s="122"/>
      <c r="F7" s="25">
        <v>2</v>
      </c>
      <c r="G7" s="25">
        <v>2</v>
      </c>
      <c r="H7" s="25">
        <v>3</v>
      </c>
      <c r="I7" s="25" t="s">
        <v>195</v>
      </c>
    </row>
    <row r="8" spans="2:10" ht="30" customHeight="1" x14ac:dyDescent="0.25">
      <c r="B8" s="138">
        <v>7810</v>
      </c>
      <c r="C8" s="139"/>
      <c r="D8" s="140"/>
      <c r="E8" s="82" t="s">
        <v>162</v>
      </c>
      <c r="F8" s="83">
        <f t="shared" ref="F8:G8" si="0">SUM(F9:F14)</f>
        <v>11065872</v>
      </c>
      <c r="G8" s="83">
        <f t="shared" si="0"/>
        <v>11065872</v>
      </c>
      <c r="H8" s="83">
        <f>SUM(H9:H14)</f>
        <v>6202484.79</v>
      </c>
      <c r="I8" s="83">
        <f>H8/G8*100</f>
        <v>56.050574143637299</v>
      </c>
    </row>
    <row r="9" spans="2:10" ht="30" hidden="1" customHeight="1" x14ac:dyDescent="0.25">
      <c r="B9" s="124">
        <v>11</v>
      </c>
      <c r="C9" s="125"/>
      <c r="D9" s="126"/>
      <c r="E9" s="29" t="s">
        <v>163</v>
      </c>
      <c r="F9" s="52">
        <v>0</v>
      </c>
      <c r="G9" s="52">
        <v>0</v>
      </c>
      <c r="H9" s="51">
        <f>SUM(H17)</f>
        <v>0</v>
      </c>
      <c r="I9" s="51"/>
    </row>
    <row r="10" spans="2:10" ht="30" customHeight="1" x14ac:dyDescent="0.25">
      <c r="B10" s="127">
        <v>31</v>
      </c>
      <c r="C10" s="127"/>
      <c r="D10" s="127"/>
      <c r="E10" s="29" t="s">
        <v>164</v>
      </c>
      <c r="F10" s="52">
        <v>6203648</v>
      </c>
      <c r="G10" s="52">
        <v>6203648</v>
      </c>
      <c r="H10" s="51">
        <f>SUM(H21)</f>
        <v>3478480.86</v>
      </c>
      <c r="I10" s="51">
        <f t="shared" ref="I10:I72" si="1">H10/G10*100</f>
        <v>56.071538230408947</v>
      </c>
    </row>
    <row r="11" spans="2:10" ht="30" customHeight="1" x14ac:dyDescent="0.25">
      <c r="B11" s="127">
        <v>43</v>
      </c>
      <c r="C11" s="127"/>
      <c r="D11" s="127"/>
      <c r="E11" s="46" t="s">
        <v>165</v>
      </c>
      <c r="F11" s="52">
        <v>4306737</v>
      </c>
      <c r="G11" s="52">
        <v>4306737</v>
      </c>
      <c r="H11" s="51">
        <f>SUM(H76)</f>
        <v>2499743.27</v>
      </c>
      <c r="I11" s="51">
        <f t="shared" si="1"/>
        <v>58.042626471038282</v>
      </c>
    </row>
    <row r="12" spans="2:10" ht="30" customHeight="1" x14ac:dyDescent="0.25">
      <c r="B12" s="127">
        <v>52</v>
      </c>
      <c r="C12" s="127"/>
      <c r="D12" s="127"/>
      <c r="E12" s="46" t="s">
        <v>166</v>
      </c>
      <c r="F12" s="52">
        <v>475487</v>
      </c>
      <c r="G12" s="52">
        <v>475487</v>
      </c>
      <c r="H12" s="51">
        <f>SUM(H133)</f>
        <v>222866.76</v>
      </c>
      <c r="I12" s="51">
        <f t="shared" si="1"/>
        <v>46.87126251611506</v>
      </c>
    </row>
    <row r="13" spans="2:10" ht="30" customHeight="1" x14ac:dyDescent="0.25">
      <c r="B13" s="127">
        <v>61</v>
      </c>
      <c r="C13" s="127"/>
      <c r="D13" s="127"/>
      <c r="E13" s="46" t="s">
        <v>167</v>
      </c>
      <c r="F13" s="52"/>
      <c r="G13" s="52"/>
      <c r="H13" s="51">
        <f>SUM(H155)</f>
        <v>593.9</v>
      </c>
      <c r="I13" s="51"/>
    </row>
    <row r="14" spans="2:10" ht="30" customHeight="1" x14ac:dyDescent="0.25">
      <c r="B14" s="127">
        <v>71</v>
      </c>
      <c r="C14" s="127"/>
      <c r="D14" s="127"/>
      <c r="E14" s="46" t="s">
        <v>168</v>
      </c>
      <c r="F14" s="52">
        <v>80000</v>
      </c>
      <c r="G14" s="52">
        <v>80000</v>
      </c>
      <c r="H14" s="51">
        <f>SUM(H159)</f>
        <v>800</v>
      </c>
      <c r="I14" s="51">
        <f t="shared" si="1"/>
        <v>1</v>
      </c>
    </row>
    <row r="15" spans="2:10" ht="30" customHeight="1" x14ac:dyDescent="0.25">
      <c r="B15" s="131">
        <v>3401</v>
      </c>
      <c r="C15" s="132"/>
      <c r="D15" s="133"/>
      <c r="E15" s="50" t="s">
        <v>169</v>
      </c>
      <c r="F15" s="54">
        <f>SUM(F16,F20)</f>
        <v>11065878</v>
      </c>
      <c r="G15" s="54">
        <f>SUM(G16,G20)</f>
        <v>11065872</v>
      </c>
      <c r="H15" s="54">
        <f t="shared" ref="H15" si="2">SUM(H16,H20)</f>
        <v>6202484.79</v>
      </c>
      <c r="I15" s="51">
        <f t="shared" si="1"/>
        <v>56.050574143637299</v>
      </c>
    </row>
    <row r="16" spans="2:10" ht="30" hidden="1" customHeight="1" x14ac:dyDescent="0.25">
      <c r="B16" s="131" t="s">
        <v>170</v>
      </c>
      <c r="C16" s="132"/>
      <c r="D16" s="133"/>
      <c r="E16" s="50" t="s">
        <v>171</v>
      </c>
      <c r="F16" s="52">
        <f>SUM(F17)</f>
        <v>0</v>
      </c>
      <c r="G16" s="52">
        <f>SUM(G17)</f>
        <v>0</v>
      </c>
      <c r="H16" s="52">
        <f>SUM(H17)</f>
        <v>0</v>
      </c>
      <c r="I16" s="51"/>
    </row>
    <row r="17" spans="2:9" ht="30" hidden="1" customHeight="1" x14ac:dyDescent="0.25">
      <c r="B17" s="124" t="s">
        <v>172</v>
      </c>
      <c r="C17" s="125"/>
      <c r="D17" s="126"/>
      <c r="E17" s="29" t="s">
        <v>163</v>
      </c>
      <c r="F17" s="52">
        <v>0</v>
      </c>
      <c r="G17" s="52">
        <v>0</v>
      </c>
      <c r="H17" s="51">
        <f>SUM(H18)</f>
        <v>0</v>
      </c>
      <c r="I17" s="51"/>
    </row>
    <row r="18" spans="2:9" ht="30" hidden="1" customHeight="1" x14ac:dyDescent="0.25">
      <c r="B18" s="127">
        <v>32</v>
      </c>
      <c r="C18" s="127"/>
      <c r="D18" s="127"/>
      <c r="E18" s="43" t="s">
        <v>10</v>
      </c>
      <c r="F18" s="52">
        <v>0</v>
      </c>
      <c r="G18" s="52">
        <v>0</v>
      </c>
      <c r="H18" s="51">
        <f>SUM(H19)</f>
        <v>0</v>
      </c>
      <c r="I18" s="51"/>
    </row>
    <row r="19" spans="2:9" ht="30" hidden="1" customHeight="1" x14ac:dyDescent="0.25">
      <c r="B19" s="124">
        <v>3232</v>
      </c>
      <c r="C19" s="125"/>
      <c r="D19" s="126"/>
      <c r="E19" s="43" t="s">
        <v>110</v>
      </c>
      <c r="F19" s="52">
        <v>0</v>
      </c>
      <c r="G19" s="52">
        <v>0</v>
      </c>
      <c r="H19" s="51">
        <v>0</v>
      </c>
      <c r="I19" s="51"/>
    </row>
    <row r="20" spans="2:9" ht="30" customHeight="1" x14ac:dyDescent="0.25">
      <c r="B20" s="134" t="s">
        <v>173</v>
      </c>
      <c r="C20" s="135"/>
      <c r="D20" s="136"/>
      <c r="E20" s="80" t="s">
        <v>181</v>
      </c>
      <c r="F20" s="81">
        <f>SUM(F21,F76,F133,F155,F159)</f>
        <v>11065878</v>
      </c>
      <c r="G20" s="81">
        <f>SUM(G21,G76,G133,G155,G159)</f>
        <v>11065872</v>
      </c>
      <c r="H20" s="81">
        <f>SUM(H21,H76,H133,H155,H159)</f>
        <v>6202484.79</v>
      </c>
      <c r="I20" s="73">
        <f t="shared" si="1"/>
        <v>56.050574143637299</v>
      </c>
    </row>
    <row r="21" spans="2:9" ht="30" customHeight="1" x14ac:dyDescent="0.25">
      <c r="B21" s="128" t="s">
        <v>174</v>
      </c>
      <c r="C21" s="129"/>
      <c r="D21" s="130"/>
      <c r="E21" s="77" t="s">
        <v>164</v>
      </c>
      <c r="F21" s="78">
        <f>SUM(F22,F28,F56,F60,F62,F64,F73)</f>
        <v>6203650</v>
      </c>
      <c r="G21" s="78">
        <f>SUM(G22,G28,G56,G60,G62,G64,G73)</f>
        <v>6203648</v>
      </c>
      <c r="H21" s="78">
        <f>SUM(H22,H28,H56,H60,H62,H64,H73)</f>
        <v>3478480.86</v>
      </c>
      <c r="I21" s="79">
        <f t="shared" si="1"/>
        <v>56.071538230408947</v>
      </c>
    </row>
    <row r="22" spans="2:9" ht="30" customHeight="1" x14ac:dyDescent="0.25">
      <c r="B22" s="38">
        <v>31</v>
      </c>
      <c r="C22" s="39"/>
      <c r="D22" s="27"/>
      <c r="E22" s="43" t="s">
        <v>5</v>
      </c>
      <c r="F22" s="52">
        <f>SUM(F23:F27)</f>
        <v>2695000</v>
      </c>
      <c r="G22" s="52">
        <f>SUM(G23:G27)</f>
        <v>2695000</v>
      </c>
      <c r="H22" s="52">
        <f t="shared" ref="H22" si="3">SUM(H23:H27)</f>
        <v>1663221.55</v>
      </c>
      <c r="I22" s="51">
        <f t="shared" si="1"/>
        <v>61.715085343228203</v>
      </c>
    </row>
    <row r="23" spans="2:9" ht="30" customHeight="1" x14ac:dyDescent="0.25">
      <c r="B23" s="38">
        <v>3111</v>
      </c>
      <c r="C23" s="39"/>
      <c r="D23" s="27"/>
      <c r="E23" s="43" t="s">
        <v>30</v>
      </c>
      <c r="F23" s="52">
        <v>2080000</v>
      </c>
      <c r="G23" s="52">
        <v>2080000</v>
      </c>
      <c r="H23" s="51">
        <f>1010892.3+270316.23</f>
        <v>1281208.53</v>
      </c>
      <c r="I23" s="51">
        <f t="shared" si="1"/>
        <v>61.596563942307689</v>
      </c>
    </row>
    <row r="24" spans="2:9" ht="30" customHeight="1" x14ac:dyDescent="0.25">
      <c r="B24" s="38">
        <v>3113</v>
      </c>
      <c r="C24" s="39"/>
      <c r="D24" s="27"/>
      <c r="E24" s="43" t="s">
        <v>93</v>
      </c>
      <c r="F24" s="52">
        <v>45000</v>
      </c>
      <c r="G24" s="52">
        <v>45000</v>
      </c>
      <c r="H24" s="51">
        <f>18085.35+6999.21</f>
        <v>25084.559999999998</v>
      </c>
      <c r="I24" s="51">
        <f t="shared" si="1"/>
        <v>55.743466666666663</v>
      </c>
    </row>
    <row r="25" spans="2:9" ht="30" customHeight="1" x14ac:dyDescent="0.25">
      <c r="B25" s="38">
        <v>3121</v>
      </c>
      <c r="C25" s="39"/>
      <c r="D25" s="27"/>
      <c r="E25" s="43" t="s">
        <v>94</v>
      </c>
      <c r="F25" s="52">
        <v>225000</v>
      </c>
      <c r="G25" s="52">
        <v>225000</v>
      </c>
      <c r="H25" s="51">
        <f>96458.69+60336</f>
        <v>156794.69</v>
      </c>
      <c r="I25" s="51">
        <f t="shared" si="1"/>
        <v>69.686528888888887</v>
      </c>
    </row>
    <row r="26" spans="2:9" ht="30" customHeight="1" x14ac:dyDescent="0.25">
      <c r="B26" s="38">
        <v>3131</v>
      </c>
      <c r="C26" s="39"/>
      <c r="D26" s="27"/>
      <c r="E26" s="43" t="s">
        <v>96</v>
      </c>
      <c r="F26" s="52">
        <v>20000</v>
      </c>
      <c r="G26" s="52">
        <v>20000</v>
      </c>
      <c r="H26" s="51">
        <v>0</v>
      </c>
      <c r="I26" s="51">
        <f t="shared" si="1"/>
        <v>0</v>
      </c>
    </row>
    <row r="27" spans="2:9" ht="30" customHeight="1" x14ac:dyDescent="0.25">
      <c r="B27" s="38">
        <v>3132</v>
      </c>
      <c r="C27" s="39"/>
      <c r="D27" s="27"/>
      <c r="E27" s="43" t="s">
        <v>97</v>
      </c>
      <c r="F27" s="52">
        <v>325000</v>
      </c>
      <c r="G27" s="52">
        <v>325000</v>
      </c>
      <c r="H27" s="51">
        <f>157889.08+42244.69</f>
        <v>200133.77</v>
      </c>
      <c r="I27" s="51">
        <f t="shared" si="1"/>
        <v>61.579621538461538</v>
      </c>
    </row>
    <row r="28" spans="2:9" ht="30" customHeight="1" x14ac:dyDescent="0.25">
      <c r="B28" s="38">
        <v>32</v>
      </c>
      <c r="C28" s="39"/>
      <c r="D28" s="27"/>
      <c r="E28" s="43" t="s">
        <v>10</v>
      </c>
      <c r="F28" s="52">
        <f>SUM(F29:F54,F55)</f>
        <v>3252950</v>
      </c>
      <c r="G28" s="52">
        <f>SUM(G29:G49,G52:G55)</f>
        <v>3252948</v>
      </c>
      <c r="H28" s="52">
        <f>SUM(H29:H49,H52:H55)</f>
        <v>1687367.92</v>
      </c>
      <c r="I28" s="51">
        <f t="shared" si="1"/>
        <v>51.8719610642408</v>
      </c>
    </row>
    <row r="29" spans="2:9" ht="30" customHeight="1" x14ac:dyDescent="0.25">
      <c r="B29" s="38">
        <v>3211</v>
      </c>
      <c r="C29" s="39"/>
      <c r="D29" s="27"/>
      <c r="E29" s="43" t="s">
        <v>32</v>
      </c>
      <c r="F29" s="52">
        <v>10000</v>
      </c>
      <c r="G29" s="52">
        <v>10000</v>
      </c>
      <c r="H29" s="51">
        <f>6498.2+1657.88</f>
        <v>8156.08</v>
      </c>
      <c r="I29" s="51">
        <f t="shared" si="1"/>
        <v>81.5608</v>
      </c>
    </row>
    <row r="30" spans="2:9" ht="30" customHeight="1" x14ac:dyDescent="0.25">
      <c r="B30" s="38">
        <v>3212</v>
      </c>
      <c r="C30" s="39"/>
      <c r="D30" s="27"/>
      <c r="E30" s="43" t="s">
        <v>98</v>
      </c>
      <c r="F30" s="52">
        <v>75000</v>
      </c>
      <c r="G30" s="52">
        <v>75000</v>
      </c>
      <c r="H30" s="51">
        <f>26591.78+8970.66</f>
        <v>35562.44</v>
      </c>
      <c r="I30" s="51">
        <f t="shared" si="1"/>
        <v>47.416586666666674</v>
      </c>
    </row>
    <row r="31" spans="2:9" ht="30" customHeight="1" x14ac:dyDescent="0.25">
      <c r="B31" s="38">
        <v>3213</v>
      </c>
      <c r="C31" s="39"/>
      <c r="D31" s="27"/>
      <c r="E31" s="43" t="s">
        <v>99</v>
      </c>
      <c r="F31" s="52">
        <v>15000</v>
      </c>
      <c r="G31" s="52">
        <v>15000</v>
      </c>
      <c r="H31" s="51">
        <f>9280.6+300</f>
        <v>9580.6</v>
      </c>
      <c r="I31" s="51">
        <f t="shared" si="1"/>
        <v>63.870666666666665</v>
      </c>
    </row>
    <row r="32" spans="2:9" ht="30" customHeight="1" x14ac:dyDescent="0.25">
      <c r="B32" s="38">
        <v>3214</v>
      </c>
      <c r="C32" s="39"/>
      <c r="D32" s="27"/>
      <c r="E32" s="43" t="s">
        <v>100</v>
      </c>
      <c r="F32" s="52">
        <v>200</v>
      </c>
      <c r="G32" s="52">
        <v>200</v>
      </c>
      <c r="H32" s="51"/>
      <c r="I32" s="51">
        <f t="shared" si="1"/>
        <v>0</v>
      </c>
    </row>
    <row r="33" spans="2:9" ht="30" customHeight="1" x14ac:dyDescent="0.25">
      <c r="B33" s="38">
        <v>3221</v>
      </c>
      <c r="C33" s="39"/>
      <c r="D33" s="27"/>
      <c r="E33" s="43" t="s">
        <v>102</v>
      </c>
      <c r="F33" s="52">
        <v>130000</v>
      </c>
      <c r="G33" s="52">
        <v>130000</v>
      </c>
      <c r="H33" s="51">
        <f>31252.19+42865.71</f>
        <v>74117.899999999994</v>
      </c>
      <c r="I33" s="51">
        <f t="shared" si="1"/>
        <v>57.013769230769228</v>
      </c>
    </row>
    <row r="34" spans="2:9" ht="30" customHeight="1" x14ac:dyDescent="0.25">
      <c r="B34" s="38">
        <v>3222</v>
      </c>
      <c r="C34" s="39"/>
      <c r="D34" s="27"/>
      <c r="E34" s="43" t="s">
        <v>103</v>
      </c>
      <c r="F34" s="52">
        <v>662300</v>
      </c>
      <c r="G34" s="52">
        <v>662300</v>
      </c>
      <c r="H34" s="51">
        <f>83357.45+104897.69</f>
        <v>188255.14</v>
      </c>
      <c r="I34" s="51">
        <f t="shared" si="1"/>
        <v>28.424451155065682</v>
      </c>
    </row>
    <row r="35" spans="2:9" ht="30" customHeight="1" x14ac:dyDescent="0.25">
      <c r="B35" s="38">
        <v>3223</v>
      </c>
      <c r="C35" s="39"/>
      <c r="D35" s="27"/>
      <c r="E35" s="43" t="s">
        <v>104</v>
      </c>
      <c r="F35" s="52">
        <v>500000</v>
      </c>
      <c r="G35" s="52">
        <v>500000</v>
      </c>
      <c r="H35" s="51">
        <f>125145.66+58974.61</f>
        <v>184120.27000000002</v>
      </c>
      <c r="I35" s="51">
        <f t="shared" si="1"/>
        <v>36.824054000000004</v>
      </c>
    </row>
    <row r="36" spans="2:9" ht="30" customHeight="1" x14ac:dyDescent="0.25">
      <c r="B36" s="38">
        <v>3224</v>
      </c>
      <c r="C36" s="39"/>
      <c r="D36" s="27"/>
      <c r="E36" s="43" t="s">
        <v>105</v>
      </c>
      <c r="F36" s="52">
        <v>276950</v>
      </c>
      <c r="G36" s="52">
        <v>276950</v>
      </c>
      <c r="H36" s="51">
        <f>72721.28+36319.28</f>
        <v>109040.56</v>
      </c>
      <c r="I36" s="51">
        <f t="shared" si="1"/>
        <v>39.371929951254735</v>
      </c>
    </row>
    <row r="37" spans="2:9" ht="30" customHeight="1" x14ac:dyDescent="0.25">
      <c r="B37" s="38">
        <v>3225</v>
      </c>
      <c r="C37" s="39"/>
      <c r="D37" s="27"/>
      <c r="E37" s="43" t="s">
        <v>106</v>
      </c>
      <c r="F37" s="52">
        <v>68000</v>
      </c>
      <c r="G37" s="52">
        <v>68000</v>
      </c>
      <c r="H37" s="51">
        <f>12581.95+10965.77</f>
        <v>23547.72</v>
      </c>
      <c r="I37" s="51">
        <f t="shared" si="1"/>
        <v>34.629000000000005</v>
      </c>
    </row>
    <row r="38" spans="2:9" ht="30" customHeight="1" x14ac:dyDescent="0.25">
      <c r="B38" s="38">
        <v>3227</v>
      </c>
      <c r="C38" s="39"/>
      <c r="D38" s="27"/>
      <c r="E38" s="43" t="s">
        <v>107</v>
      </c>
      <c r="F38" s="52">
        <v>50000</v>
      </c>
      <c r="G38" s="52">
        <v>50000</v>
      </c>
      <c r="H38" s="51">
        <f>4440.68+7510.28</f>
        <v>11950.96</v>
      </c>
      <c r="I38" s="51">
        <f t="shared" si="1"/>
        <v>23.901919999999997</v>
      </c>
    </row>
    <row r="39" spans="2:9" ht="30" customHeight="1" x14ac:dyDescent="0.25">
      <c r="B39" s="38">
        <v>3231</v>
      </c>
      <c r="C39" s="39"/>
      <c r="D39" s="27"/>
      <c r="E39" s="43" t="s">
        <v>109</v>
      </c>
      <c r="F39" s="52">
        <v>15000</v>
      </c>
      <c r="G39" s="52">
        <v>15000</v>
      </c>
      <c r="H39" s="51">
        <f>4982.17+1322.04</f>
        <v>6304.21</v>
      </c>
      <c r="I39" s="51">
        <f t="shared" si="1"/>
        <v>42.028066666666668</v>
      </c>
    </row>
    <row r="40" spans="2:9" ht="30" customHeight="1" x14ac:dyDescent="0.25">
      <c r="B40" s="38">
        <v>3232</v>
      </c>
      <c r="C40" s="39"/>
      <c r="D40" s="27"/>
      <c r="E40" s="43" t="s">
        <v>110</v>
      </c>
      <c r="F40" s="52">
        <v>591442</v>
      </c>
      <c r="G40" s="52">
        <v>591442</v>
      </c>
      <c r="H40" s="51">
        <f>582152.28+145182.33</f>
        <v>727334.61</v>
      </c>
      <c r="I40" s="51">
        <f t="shared" si="1"/>
        <v>122.97648966424433</v>
      </c>
    </row>
    <row r="41" spans="2:9" ht="30" customHeight="1" x14ac:dyDescent="0.25">
      <c r="B41" s="38">
        <v>3233</v>
      </c>
      <c r="C41" s="39"/>
      <c r="D41" s="27"/>
      <c r="E41" s="43" t="s">
        <v>111</v>
      </c>
      <c r="F41" s="52">
        <v>100000</v>
      </c>
      <c r="G41" s="52">
        <v>100000</v>
      </c>
      <c r="H41" s="51">
        <f>36372.32+15461.93</f>
        <v>51834.25</v>
      </c>
      <c r="I41" s="51">
        <f t="shared" si="1"/>
        <v>51.834250000000004</v>
      </c>
    </row>
    <row r="42" spans="2:9" ht="30" customHeight="1" x14ac:dyDescent="0.25">
      <c r="B42" s="38">
        <v>3234</v>
      </c>
      <c r="C42" s="39"/>
      <c r="D42" s="27"/>
      <c r="E42" s="43" t="s">
        <v>112</v>
      </c>
      <c r="F42" s="52">
        <v>130336</v>
      </c>
      <c r="G42" s="52">
        <v>130336</v>
      </c>
      <c r="H42" s="51">
        <f>42281.86+32728.64</f>
        <v>75010.5</v>
      </c>
      <c r="I42" s="51">
        <f t="shared" si="1"/>
        <v>57.551635772158114</v>
      </c>
    </row>
    <row r="43" spans="2:9" ht="30" customHeight="1" x14ac:dyDescent="0.25">
      <c r="B43" s="38">
        <v>3235</v>
      </c>
      <c r="C43" s="39"/>
      <c r="D43" s="27"/>
      <c r="E43" s="43" t="s">
        <v>113</v>
      </c>
      <c r="F43" s="52">
        <v>5000</v>
      </c>
      <c r="G43" s="52">
        <v>5000</v>
      </c>
      <c r="H43" s="51">
        <f>480+570</f>
        <v>1050</v>
      </c>
      <c r="I43" s="51">
        <f t="shared" si="1"/>
        <v>21</v>
      </c>
    </row>
    <row r="44" spans="2:9" ht="30" customHeight="1" x14ac:dyDescent="0.25">
      <c r="B44" s="38">
        <v>3236</v>
      </c>
      <c r="C44" s="39"/>
      <c r="D44" s="27"/>
      <c r="E44" s="43" t="s">
        <v>114</v>
      </c>
      <c r="F44" s="52">
        <v>39750</v>
      </c>
      <c r="G44" s="52">
        <v>39750</v>
      </c>
      <c r="H44" s="51">
        <f>619.74+1781.23</f>
        <v>2400.9700000000003</v>
      </c>
      <c r="I44" s="51">
        <f t="shared" si="1"/>
        <v>6.0401761006289316</v>
      </c>
    </row>
    <row r="45" spans="2:9" ht="30" customHeight="1" x14ac:dyDescent="0.25">
      <c r="B45" s="38">
        <v>3237</v>
      </c>
      <c r="C45" s="39"/>
      <c r="D45" s="27"/>
      <c r="E45" s="43" t="s">
        <v>115</v>
      </c>
      <c r="F45" s="52">
        <v>170000</v>
      </c>
      <c r="G45" s="52">
        <v>170000</v>
      </c>
      <c r="H45" s="51">
        <f>13274.65+7550.86</f>
        <v>20825.509999999998</v>
      </c>
      <c r="I45" s="51">
        <f t="shared" si="1"/>
        <v>12.250299999999999</v>
      </c>
    </row>
    <row r="46" spans="2:9" ht="30" customHeight="1" x14ac:dyDescent="0.25">
      <c r="B46" s="38">
        <v>3238</v>
      </c>
      <c r="C46" s="39"/>
      <c r="D46" s="27"/>
      <c r="E46" s="43" t="s">
        <v>116</v>
      </c>
      <c r="F46" s="52">
        <v>82000</v>
      </c>
      <c r="G46" s="52">
        <v>82000</v>
      </c>
      <c r="H46" s="51">
        <f>11363.93+3898.32</f>
        <v>15262.25</v>
      </c>
      <c r="I46" s="51">
        <f t="shared" si="1"/>
        <v>18.612500000000001</v>
      </c>
    </row>
    <row r="47" spans="2:9" ht="30" customHeight="1" x14ac:dyDescent="0.25">
      <c r="B47" s="38">
        <v>3239</v>
      </c>
      <c r="C47" s="39"/>
      <c r="D47" s="27"/>
      <c r="E47" s="43" t="s">
        <v>117</v>
      </c>
      <c r="F47" s="52">
        <v>122970</v>
      </c>
      <c r="G47" s="52">
        <v>122970</v>
      </c>
      <c r="H47" s="51">
        <f>19293.48+16710.32</f>
        <v>36003.800000000003</v>
      </c>
      <c r="I47" s="51">
        <f t="shared" si="1"/>
        <v>29.27852321704481</v>
      </c>
    </row>
    <row r="48" spans="2:9" ht="30" customHeight="1" x14ac:dyDescent="0.25">
      <c r="B48" s="38">
        <v>3241</v>
      </c>
      <c r="C48" s="39"/>
      <c r="D48" s="27"/>
      <c r="E48" s="43" t="s">
        <v>118</v>
      </c>
      <c r="F48" s="52">
        <v>1000</v>
      </c>
      <c r="G48" s="52">
        <v>1000</v>
      </c>
      <c r="H48" s="51">
        <v>0</v>
      </c>
      <c r="I48" s="51">
        <f t="shared" si="1"/>
        <v>0</v>
      </c>
    </row>
    <row r="49" spans="2:9" ht="30" customHeight="1" x14ac:dyDescent="0.25">
      <c r="B49" s="38">
        <v>3292</v>
      </c>
      <c r="C49" s="39"/>
      <c r="D49" s="27"/>
      <c r="E49" s="43" t="s">
        <v>121</v>
      </c>
      <c r="F49" s="52">
        <v>55000</v>
      </c>
      <c r="G49" s="52">
        <v>55000</v>
      </c>
      <c r="H49" s="51">
        <v>4561.8100000000004</v>
      </c>
      <c r="I49" s="51">
        <f t="shared" si="1"/>
        <v>8.2942</v>
      </c>
    </row>
    <row r="50" spans="2:9" ht="25.5" x14ac:dyDescent="0.25">
      <c r="B50" s="117" t="s">
        <v>7</v>
      </c>
      <c r="C50" s="118"/>
      <c r="D50" s="118"/>
      <c r="E50" s="119"/>
      <c r="F50" s="23" t="s">
        <v>42</v>
      </c>
      <c r="G50" s="23" t="s">
        <v>197</v>
      </c>
      <c r="H50" s="23" t="s">
        <v>185</v>
      </c>
      <c r="I50" s="23" t="s">
        <v>40</v>
      </c>
    </row>
    <row r="51" spans="2:9" s="26" customFormat="1" ht="11.25" x14ac:dyDescent="0.2">
      <c r="B51" s="120">
        <v>1</v>
      </c>
      <c r="C51" s="121"/>
      <c r="D51" s="121"/>
      <c r="E51" s="122"/>
      <c r="F51" s="25">
        <v>2</v>
      </c>
      <c r="G51" s="25">
        <v>3</v>
      </c>
      <c r="H51" s="25">
        <v>4</v>
      </c>
      <c r="I51" s="25" t="s">
        <v>36</v>
      </c>
    </row>
    <row r="52" spans="2:9" ht="30" customHeight="1" x14ac:dyDescent="0.25">
      <c r="B52" s="38">
        <v>3293</v>
      </c>
      <c r="C52" s="39"/>
      <c r="D52" s="27"/>
      <c r="E52" s="43" t="s">
        <v>122</v>
      </c>
      <c r="F52" s="52">
        <v>10000</v>
      </c>
      <c r="G52" s="52">
        <v>10000</v>
      </c>
      <c r="H52" s="51">
        <f>2205.7+270</f>
        <v>2475.6999999999998</v>
      </c>
      <c r="I52" s="51">
        <f t="shared" si="1"/>
        <v>24.756999999999998</v>
      </c>
    </row>
    <row r="53" spans="2:9" ht="30" customHeight="1" x14ac:dyDescent="0.25">
      <c r="B53" s="38">
        <v>3294</v>
      </c>
      <c r="C53" s="39"/>
      <c r="D53" s="27"/>
      <c r="E53" s="43" t="s">
        <v>123</v>
      </c>
      <c r="F53" s="52">
        <v>1000</v>
      </c>
      <c r="G53" s="52">
        <v>1000</v>
      </c>
      <c r="H53" s="51">
        <v>225.6</v>
      </c>
      <c r="I53" s="51">
        <f t="shared" si="1"/>
        <v>22.56</v>
      </c>
    </row>
    <row r="54" spans="2:9" ht="30" customHeight="1" x14ac:dyDescent="0.25">
      <c r="B54" s="38">
        <v>3295</v>
      </c>
      <c r="C54" s="39"/>
      <c r="D54" s="27"/>
      <c r="E54" s="43" t="s">
        <v>124</v>
      </c>
      <c r="F54" s="52">
        <v>115000</v>
      </c>
      <c r="G54" s="52">
        <v>115000</v>
      </c>
      <c r="H54" s="51">
        <f>36213.03+31723.52</f>
        <v>67936.55</v>
      </c>
      <c r="I54" s="51">
        <f t="shared" si="1"/>
        <v>59.075260869565213</v>
      </c>
    </row>
    <row r="55" spans="2:9" ht="30" customHeight="1" x14ac:dyDescent="0.25">
      <c r="B55" s="38">
        <v>3299</v>
      </c>
      <c r="C55" s="39"/>
      <c r="D55" s="27"/>
      <c r="E55" s="43" t="s">
        <v>119</v>
      </c>
      <c r="F55" s="52">
        <v>27000</v>
      </c>
      <c r="G55" s="52">
        <v>27000</v>
      </c>
      <c r="H55" s="51">
        <f>18030.5+13779.99</f>
        <v>31810.489999999998</v>
      </c>
      <c r="I55" s="51">
        <f t="shared" si="1"/>
        <v>117.81662962962962</v>
      </c>
    </row>
    <row r="56" spans="2:9" ht="30" customHeight="1" x14ac:dyDescent="0.25">
      <c r="B56" s="38">
        <v>34</v>
      </c>
      <c r="C56" s="39"/>
      <c r="D56" s="27"/>
      <c r="E56" s="43" t="s">
        <v>126</v>
      </c>
      <c r="F56" s="52">
        <f>SUM(F57:F59)</f>
        <v>1000</v>
      </c>
      <c r="G56" s="52">
        <f>SUM(G57:G59)</f>
        <v>1000</v>
      </c>
      <c r="H56" s="52">
        <f t="shared" ref="H56" si="4">SUM(H57:H59)</f>
        <v>104.97</v>
      </c>
      <c r="I56" s="51">
        <f t="shared" si="1"/>
        <v>10.497</v>
      </c>
    </row>
    <row r="57" spans="2:9" ht="30" customHeight="1" x14ac:dyDescent="0.25">
      <c r="B57" s="38">
        <v>3431</v>
      </c>
      <c r="C57" s="39"/>
      <c r="D57" s="27"/>
      <c r="E57" s="43" t="s">
        <v>128</v>
      </c>
      <c r="F57" s="52">
        <v>0</v>
      </c>
      <c r="G57" s="52">
        <v>0</v>
      </c>
      <c r="H57" s="51">
        <v>0</v>
      </c>
      <c r="I57" s="51" t="e">
        <f t="shared" si="1"/>
        <v>#DIV/0!</v>
      </c>
    </row>
    <row r="58" spans="2:9" ht="30" customHeight="1" x14ac:dyDescent="0.25">
      <c r="B58" s="38">
        <v>3432</v>
      </c>
      <c r="C58" s="39"/>
      <c r="D58" s="27"/>
      <c r="E58" s="43" t="s">
        <v>129</v>
      </c>
      <c r="F58" s="52">
        <v>500</v>
      </c>
      <c r="G58" s="52">
        <v>500</v>
      </c>
      <c r="H58" s="51"/>
      <c r="I58" s="51">
        <f t="shared" si="1"/>
        <v>0</v>
      </c>
    </row>
    <row r="59" spans="2:9" ht="30" customHeight="1" x14ac:dyDescent="0.25">
      <c r="B59" s="38">
        <v>3433</v>
      </c>
      <c r="C59" s="39"/>
      <c r="D59" s="27"/>
      <c r="E59" s="43" t="s">
        <v>130</v>
      </c>
      <c r="F59" s="52">
        <v>500</v>
      </c>
      <c r="G59" s="52">
        <v>500</v>
      </c>
      <c r="H59" s="51">
        <f>83.31+21.66</f>
        <v>104.97</v>
      </c>
      <c r="I59" s="51">
        <f t="shared" si="1"/>
        <v>20.994</v>
      </c>
    </row>
    <row r="60" spans="2:9" ht="30" customHeight="1" x14ac:dyDescent="0.25">
      <c r="B60" s="38">
        <v>37</v>
      </c>
      <c r="C60" s="39"/>
      <c r="D60" s="27"/>
      <c r="E60" s="43" t="s">
        <v>132</v>
      </c>
      <c r="F60" s="52">
        <f>SUM(F61)</f>
        <v>2500</v>
      </c>
      <c r="G60" s="52">
        <f>SUM(G61)</f>
        <v>2500</v>
      </c>
      <c r="H60" s="52">
        <f t="shared" ref="H60" si="5">SUM(H61)</f>
        <v>0</v>
      </c>
      <c r="I60" s="51">
        <f t="shared" si="1"/>
        <v>0</v>
      </c>
    </row>
    <row r="61" spans="2:9" ht="30" customHeight="1" x14ac:dyDescent="0.25">
      <c r="B61" s="38">
        <v>3721</v>
      </c>
      <c r="C61" s="39"/>
      <c r="D61" s="27"/>
      <c r="E61" s="43" t="s">
        <v>134</v>
      </c>
      <c r="F61" s="52">
        <v>2500</v>
      </c>
      <c r="G61" s="52">
        <v>2500</v>
      </c>
      <c r="H61" s="51">
        <v>0</v>
      </c>
      <c r="I61" s="51">
        <f t="shared" si="1"/>
        <v>0</v>
      </c>
    </row>
    <row r="62" spans="2:9" ht="30" customHeight="1" x14ac:dyDescent="0.25">
      <c r="B62" s="38">
        <v>38</v>
      </c>
      <c r="C62" s="39"/>
      <c r="D62" s="27"/>
      <c r="E62" s="43" t="s">
        <v>176</v>
      </c>
      <c r="F62" s="52">
        <f>SUM(F63)</f>
        <v>500</v>
      </c>
      <c r="G62" s="52">
        <f>SUM(G63)</f>
        <v>500</v>
      </c>
      <c r="H62" s="52">
        <f t="shared" ref="H62" si="6">SUM(H63)</f>
        <v>0</v>
      </c>
      <c r="I62" s="51">
        <f t="shared" si="1"/>
        <v>0</v>
      </c>
    </row>
    <row r="63" spans="2:9" ht="30" customHeight="1" x14ac:dyDescent="0.25">
      <c r="B63" s="38">
        <v>3835</v>
      </c>
      <c r="C63" s="39"/>
      <c r="D63" s="27"/>
      <c r="E63" s="43" t="s">
        <v>81</v>
      </c>
      <c r="F63" s="52">
        <v>500</v>
      </c>
      <c r="G63" s="52">
        <v>500</v>
      </c>
      <c r="H63" s="51"/>
      <c r="I63" s="51">
        <f t="shared" si="1"/>
        <v>0</v>
      </c>
    </row>
    <row r="64" spans="2:9" ht="30" customHeight="1" x14ac:dyDescent="0.25">
      <c r="B64" s="38">
        <v>42</v>
      </c>
      <c r="C64" s="39"/>
      <c r="D64" s="27"/>
      <c r="E64" s="43" t="s">
        <v>135</v>
      </c>
      <c r="F64" s="52">
        <f>SUM(F65:F72)</f>
        <v>251700</v>
      </c>
      <c r="G64" s="52">
        <f>SUM(G65:G72)</f>
        <v>251700</v>
      </c>
      <c r="H64" s="52">
        <f t="shared" ref="H64" si="7">SUM(H65:H72)</f>
        <v>108371.52</v>
      </c>
      <c r="I64" s="51">
        <f t="shared" si="1"/>
        <v>43.0558283671037</v>
      </c>
    </row>
    <row r="65" spans="2:9" ht="30" customHeight="1" x14ac:dyDescent="0.25">
      <c r="B65" s="38">
        <v>4214</v>
      </c>
      <c r="C65" s="39"/>
      <c r="D65" s="27"/>
      <c r="E65" s="43" t="s">
        <v>138</v>
      </c>
      <c r="F65" s="52">
        <v>2900</v>
      </c>
      <c r="G65" s="52">
        <v>2900</v>
      </c>
      <c r="H65" s="51"/>
      <c r="I65" s="51">
        <f t="shared" si="1"/>
        <v>0</v>
      </c>
    </row>
    <row r="66" spans="2:9" ht="30" customHeight="1" x14ac:dyDescent="0.25">
      <c r="B66" s="38">
        <v>4221</v>
      </c>
      <c r="C66" s="39"/>
      <c r="D66" s="27"/>
      <c r="E66" s="43" t="s">
        <v>140</v>
      </c>
      <c r="F66" s="52">
        <v>25100</v>
      </c>
      <c r="G66" s="52">
        <v>25100</v>
      </c>
      <c r="H66" s="51">
        <f>580+7983.62</f>
        <v>8563.619999999999</v>
      </c>
      <c r="I66" s="51">
        <f t="shared" si="1"/>
        <v>34.118007968127486</v>
      </c>
    </row>
    <row r="67" spans="2:9" ht="30" customHeight="1" x14ac:dyDescent="0.25">
      <c r="B67" s="38">
        <v>4222</v>
      </c>
      <c r="C67" s="39"/>
      <c r="D67" s="27"/>
      <c r="E67" s="43" t="s">
        <v>141</v>
      </c>
      <c r="F67" s="52">
        <v>11000</v>
      </c>
      <c r="G67" s="52">
        <v>11000</v>
      </c>
      <c r="H67" s="51">
        <f>2157.83+1860</f>
        <v>4017.83</v>
      </c>
      <c r="I67" s="51">
        <f t="shared" si="1"/>
        <v>36.525727272727273</v>
      </c>
    </row>
    <row r="68" spans="2:9" ht="30" customHeight="1" x14ac:dyDescent="0.25">
      <c r="B68" s="38">
        <v>4223</v>
      </c>
      <c r="C68" s="39"/>
      <c r="D68" s="27"/>
      <c r="E68" s="43" t="s">
        <v>142</v>
      </c>
      <c r="F68" s="52">
        <v>24700</v>
      </c>
      <c r="G68" s="52">
        <v>24700</v>
      </c>
      <c r="H68" s="51">
        <f>22493.38+1025</f>
        <v>23518.38</v>
      </c>
      <c r="I68" s="51">
        <f t="shared" si="1"/>
        <v>95.216113360323902</v>
      </c>
    </row>
    <row r="69" spans="2:9" ht="30" customHeight="1" x14ac:dyDescent="0.25">
      <c r="B69" s="38">
        <v>4225</v>
      </c>
      <c r="C69" s="39"/>
      <c r="D69" s="27"/>
      <c r="E69" s="43" t="s">
        <v>144</v>
      </c>
      <c r="F69" s="52">
        <v>8000</v>
      </c>
      <c r="G69" s="52">
        <v>8000</v>
      </c>
      <c r="H69" s="51">
        <f>3496.18+884.68</f>
        <v>4380.8599999999997</v>
      </c>
      <c r="I69" s="51">
        <f t="shared" si="1"/>
        <v>54.760749999999994</v>
      </c>
    </row>
    <row r="70" spans="2:9" ht="30" customHeight="1" x14ac:dyDescent="0.25">
      <c r="B70" s="38">
        <v>4226</v>
      </c>
      <c r="C70" s="39"/>
      <c r="D70" s="27"/>
      <c r="E70" s="43" t="s">
        <v>145</v>
      </c>
      <c r="F70" s="52">
        <v>10000</v>
      </c>
      <c r="G70" s="52">
        <v>10000</v>
      </c>
      <c r="H70" s="51">
        <v>0</v>
      </c>
      <c r="I70" s="51">
        <f t="shared" si="1"/>
        <v>0</v>
      </c>
    </row>
    <row r="71" spans="2:9" ht="30" customHeight="1" x14ac:dyDescent="0.25">
      <c r="B71" s="38">
        <v>4227</v>
      </c>
      <c r="C71" s="39"/>
      <c r="D71" s="27"/>
      <c r="E71" s="43" t="s">
        <v>92</v>
      </c>
      <c r="F71" s="52">
        <v>60000</v>
      </c>
      <c r="G71" s="52">
        <v>60000</v>
      </c>
      <c r="H71" s="51">
        <f>52595.03+15295.8</f>
        <v>67890.83</v>
      </c>
      <c r="I71" s="51">
        <f t="shared" si="1"/>
        <v>113.15138333333334</v>
      </c>
    </row>
    <row r="72" spans="2:9" ht="30" customHeight="1" x14ac:dyDescent="0.25">
      <c r="B72" s="38">
        <v>4231</v>
      </c>
      <c r="C72" s="39"/>
      <c r="D72" s="27"/>
      <c r="E72" s="43" t="s">
        <v>84</v>
      </c>
      <c r="F72" s="52">
        <v>110000</v>
      </c>
      <c r="G72" s="52">
        <v>110000</v>
      </c>
      <c r="H72" s="51">
        <v>0</v>
      </c>
      <c r="I72" s="51">
        <f t="shared" si="1"/>
        <v>0</v>
      </c>
    </row>
    <row r="73" spans="2:9" ht="30" customHeight="1" x14ac:dyDescent="0.25">
      <c r="B73" s="38">
        <v>45</v>
      </c>
      <c r="C73" s="39"/>
      <c r="D73" s="27"/>
      <c r="E73" s="43" t="s">
        <v>147</v>
      </c>
      <c r="F73" s="52">
        <f>SUM(F74:F75)</f>
        <v>0</v>
      </c>
      <c r="G73" s="52">
        <f>SUM(G74:G75)</f>
        <v>0</v>
      </c>
      <c r="H73" s="52">
        <f t="shared" ref="H73" si="8">SUM(H74:H75)</f>
        <v>19414.900000000001</v>
      </c>
      <c r="I73" s="51"/>
    </row>
    <row r="74" spans="2:9" ht="30" hidden="1" customHeight="1" x14ac:dyDescent="0.25">
      <c r="B74" s="38">
        <v>4511</v>
      </c>
      <c r="C74" s="39"/>
      <c r="D74" s="27"/>
      <c r="E74" s="43" t="s">
        <v>148</v>
      </c>
      <c r="F74" s="52">
        <v>0</v>
      </c>
      <c r="G74" s="52">
        <v>0</v>
      </c>
      <c r="H74" s="51">
        <v>0</v>
      </c>
      <c r="I74" s="51"/>
    </row>
    <row r="75" spans="2:9" ht="30" customHeight="1" x14ac:dyDescent="0.25">
      <c r="B75" s="38">
        <v>4521</v>
      </c>
      <c r="C75" s="39"/>
      <c r="D75" s="27"/>
      <c r="E75" s="43" t="s">
        <v>149</v>
      </c>
      <c r="F75" s="52">
        <v>0</v>
      </c>
      <c r="G75" s="52">
        <v>0</v>
      </c>
      <c r="H75" s="51">
        <v>19414.900000000001</v>
      </c>
      <c r="I75" s="51"/>
    </row>
    <row r="76" spans="2:9" ht="30" customHeight="1" x14ac:dyDescent="0.25">
      <c r="B76" s="74" t="s">
        <v>175</v>
      </c>
      <c r="C76" s="75"/>
      <c r="D76" s="84"/>
      <c r="E76" s="84" t="s">
        <v>165</v>
      </c>
      <c r="F76" s="78">
        <f>SUM(F77,F83,F113,F116,F118,F120)</f>
        <v>4306739</v>
      </c>
      <c r="G76" s="78">
        <f>SUM(G77,G83,G113,G116,G118,G120)</f>
        <v>4306737</v>
      </c>
      <c r="H76" s="78">
        <f>SUM(H77,H83,H113,H116,H118,H120)</f>
        <v>2499743.27</v>
      </c>
      <c r="I76" s="79">
        <f t="shared" ref="I76:I154" si="9">H76/G76*100</f>
        <v>58.042626471038282</v>
      </c>
    </row>
    <row r="77" spans="2:9" ht="30" customHeight="1" x14ac:dyDescent="0.25">
      <c r="B77" s="38">
        <v>31</v>
      </c>
      <c r="C77" s="39"/>
      <c r="D77" s="27"/>
      <c r="E77" s="43" t="s">
        <v>5</v>
      </c>
      <c r="F77" s="52">
        <f>SUM(F78:F82)</f>
        <v>2600600</v>
      </c>
      <c r="G77" s="52">
        <f>SUM(G78:G82)</f>
        <v>2600600</v>
      </c>
      <c r="H77" s="52">
        <f t="shared" ref="H77" si="10">SUM(H78:H82)</f>
        <v>1880610.85</v>
      </c>
      <c r="I77" s="51">
        <f t="shared" si="9"/>
        <v>72.314498577251413</v>
      </c>
    </row>
    <row r="78" spans="2:9" ht="30" customHeight="1" x14ac:dyDescent="0.25">
      <c r="B78" s="38">
        <v>3111</v>
      </c>
      <c r="C78" s="39"/>
      <c r="D78" s="27"/>
      <c r="E78" s="43" t="s">
        <v>30</v>
      </c>
      <c r="F78" s="52">
        <v>2035600</v>
      </c>
      <c r="G78" s="52">
        <v>2035600</v>
      </c>
      <c r="H78" s="51">
        <f>1125157.85+292626.88</f>
        <v>1417784.73</v>
      </c>
      <c r="I78" s="51">
        <f t="shared" si="9"/>
        <v>69.649475830222059</v>
      </c>
    </row>
    <row r="79" spans="2:9" ht="30" customHeight="1" x14ac:dyDescent="0.25">
      <c r="B79" s="38">
        <v>3113</v>
      </c>
      <c r="C79" s="39"/>
      <c r="D79" s="27"/>
      <c r="E79" s="43" t="s">
        <v>93</v>
      </c>
      <c r="F79" s="52">
        <v>35000</v>
      </c>
      <c r="G79" s="52">
        <v>35000</v>
      </c>
      <c r="H79" s="51">
        <f>22998.11+5969.19</f>
        <v>28967.3</v>
      </c>
      <c r="I79" s="51">
        <f t="shared" si="9"/>
        <v>82.763714285714286</v>
      </c>
    </row>
    <row r="80" spans="2:9" ht="30" customHeight="1" x14ac:dyDescent="0.25">
      <c r="B80" s="38">
        <v>3121</v>
      </c>
      <c r="C80" s="39"/>
      <c r="D80" s="27"/>
      <c r="E80" s="43" t="s">
        <v>94</v>
      </c>
      <c r="F80" s="52">
        <v>200000</v>
      </c>
      <c r="G80" s="52">
        <v>200000</v>
      </c>
      <c r="H80" s="51">
        <f>117374.12+67993.94</f>
        <v>185368.06</v>
      </c>
      <c r="I80" s="51">
        <f t="shared" si="9"/>
        <v>92.684029999999993</v>
      </c>
    </row>
    <row r="81" spans="2:9" ht="30" customHeight="1" x14ac:dyDescent="0.25">
      <c r="B81" s="38">
        <v>3131</v>
      </c>
      <c r="C81" s="39"/>
      <c r="D81" s="27"/>
      <c r="E81" s="43" t="s">
        <v>96</v>
      </c>
      <c r="F81" s="52">
        <v>15000</v>
      </c>
      <c r="G81" s="52">
        <v>15000</v>
      </c>
      <c r="H81" s="51">
        <f>20233.05+4953.04</f>
        <v>25186.09</v>
      </c>
      <c r="I81" s="51">
        <f t="shared" si="9"/>
        <v>167.90726666666666</v>
      </c>
    </row>
    <row r="82" spans="2:9" ht="30" customHeight="1" x14ac:dyDescent="0.25">
      <c r="B82" s="38">
        <v>3132</v>
      </c>
      <c r="C82" s="39"/>
      <c r="D82" s="27"/>
      <c r="E82" s="43" t="s">
        <v>97</v>
      </c>
      <c r="F82" s="52">
        <v>315000</v>
      </c>
      <c r="G82" s="52">
        <v>315000</v>
      </c>
      <c r="H82" s="51">
        <f>176693.05+46611.62</f>
        <v>223304.66999999998</v>
      </c>
      <c r="I82" s="51">
        <f t="shared" si="9"/>
        <v>70.890371428571413</v>
      </c>
    </row>
    <row r="83" spans="2:9" ht="30" customHeight="1" x14ac:dyDescent="0.25">
      <c r="B83" s="38">
        <v>32</v>
      </c>
      <c r="C83" s="39"/>
      <c r="D83" s="27"/>
      <c r="E83" s="43" t="s">
        <v>10</v>
      </c>
      <c r="F83" s="52">
        <f>SUM(F84:F105,F106:F112)</f>
        <v>1471489</v>
      </c>
      <c r="G83" s="52">
        <f>SUM(G84:G92,G95:G112)</f>
        <v>1471487</v>
      </c>
      <c r="H83" s="52">
        <f>SUM(H84:H92,H95:H112)</f>
        <v>519384.4</v>
      </c>
      <c r="I83" s="51">
        <f t="shared" si="9"/>
        <v>35.296567349898439</v>
      </c>
    </row>
    <row r="84" spans="2:9" ht="30" customHeight="1" x14ac:dyDescent="0.25">
      <c r="B84" s="38">
        <v>3211</v>
      </c>
      <c r="C84" s="39"/>
      <c r="D84" s="27"/>
      <c r="E84" s="43" t="s">
        <v>32</v>
      </c>
      <c r="F84" s="52">
        <v>17600</v>
      </c>
      <c r="G84" s="52">
        <v>17600</v>
      </c>
      <c r="H84" s="51">
        <f>10593.77+5471.06</f>
        <v>16064.830000000002</v>
      </c>
      <c r="I84" s="51">
        <f t="shared" si="9"/>
        <v>91.277443181818199</v>
      </c>
    </row>
    <row r="85" spans="2:9" ht="30" customHeight="1" x14ac:dyDescent="0.25">
      <c r="B85" s="38">
        <v>3212</v>
      </c>
      <c r="C85" s="39"/>
      <c r="D85" s="27"/>
      <c r="E85" s="43" t="s">
        <v>98</v>
      </c>
      <c r="F85" s="52">
        <v>90000</v>
      </c>
      <c r="G85" s="52">
        <v>90000</v>
      </c>
      <c r="H85" s="51">
        <f>33489.78+8888.55</f>
        <v>42378.33</v>
      </c>
      <c r="I85" s="51">
        <f t="shared" si="9"/>
        <v>47.087033333333331</v>
      </c>
    </row>
    <row r="86" spans="2:9" ht="30" customHeight="1" x14ac:dyDescent="0.25">
      <c r="B86" s="38">
        <v>3213</v>
      </c>
      <c r="C86" s="39"/>
      <c r="D86" s="27"/>
      <c r="E86" s="43" t="s">
        <v>99</v>
      </c>
      <c r="F86" s="52">
        <v>13800</v>
      </c>
      <c r="G86" s="52">
        <v>13800</v>
      </c>
      <c r="H86" s="51">
        <f>3779.69+4444</f>
        <v>8223.69</v>
      </c>
      <c r="I86" s="51">
        <f t="shared" si="9"/>
        <v>59.591956521739128</v>
      </c>
    </row>
    <row r="87" spans="2:9" ht="30" customHeight="1" x14ac:dyDescent="0.25">
      <c r="B87" s="38">
        <v>3214</v>
      </c>
      <c r="C87" s="39"/>
      <c r="D87" s="27"/>
      <c r="E87" s="43" t="s">
        <v>100</v>
      </c>
      <c r="F87" s="52">
        <v>500</v>
      </c>
      <c r="G87" s="52">
        <v>500</v>
      </c>
      <c r="H87" s="51">
        <v>0</v>
      </c>
      <c r="I87" s="51">
        <f t="shared" si="9"/>
        <v>0</v>
      </c>
    </row>
    <row r="88" spans="2:9" ht="30" customHeight="1" x14ac:dyDescent="0.25">
      <c r="B88" s="38">
        <v>3221</v>
      </c>
      <c r="C88" s="39"/>
      <c r="D88" s="27"/>
      <c r="E88" s="43" t="s">
        <v>102</v>
      </c>
      <c r="F88" s="52">
        <v>51130</v>
      </c>
      <c r="G88" s="52">
        <v>51130</v>
      </c>
      <c r="H88" s="51">
        <f>9694.96+5173.24</f>
        <v>14868.199999999999</v>
      </c>
      <c r="I88" s="51">
        <f t="shared" si="9"/>
        <v>29.079209857226672</v>
      </c>
    </row>
    <row r="89" spans="2:9" ht="30" customHeight="1" x14ac:dyDescent="0.25">
      <c r="B89" s="38">
        <v>3222</v>
      </c>
      <c r="C89" s="39"/>
      <c r="D89" s="27"/>
      <c r="E89" s="43" t="s">
        <v>103</v>
      </c>
      <c r="F89" s="52">
        <v>110725</v>
      </c>
      <c r="G89" s="52">
        <v>110725</v>
      </c>
      <c r="H89" s="51">
        <f>16342.98+22621.76</f>
        <v>38964.74</v>
      </c>
      <c r="I89" s="51">
        <f t="shared" si="9"/>
        <v>35.190553172273646</v>
      </c>
    </row>
    <row r="90" spans="2:9" ht="30" customHeight="1" x14ac:dyDescent="0.25">
      <c r="B90" s="38">
        <v>3223</v>
      </c>
      <c r="C90" s="39"/>
      <c r="D90" s="27"/>
      <c r="E90" s="43" t="s">
        <v>104</v>
      </c>
      <c r="F90" s="52">
        <v>155000</v>
      </c>
      <c r="G90" s="52">
        <v>155000</v>
      </c>
      <c r="H90" s="51">
        <f>33358.95+8076.89</f>
        <v>41435.839999999997</v>
      </c>
      <c r="I90" s="51">
        <f t="shared" si="9"/>
        <v>26.732799999999994</v>
      </c>
    </row>
    <row r="91" spans="2:9" ht="30" customHeight="1" x14ac:dyDescent="0.25">
      <c r="B91" s="38">
        <v>3224</v>
      </c>
      <c r="C91" s="39"/>
      <c r="D91" s="27"/>
      <c r="E91" s="43" t="s">
        <v>105</v>
      </c>
      <c r="F91" s="52">
        <v>130000</v>
      </c>
      <c r="G91" s="52">
        <v>130000</v>
      </c>
      <c r="H91" s="51">
        <f>34233.95+31244.54</f>
        <v>65478.49</v>
      </c>
      <c r="I91" s="51">
        <f t="shared" si="9"/>
        <v>50.36806923076923</v>
      </c>
    </row>
    <row r="92" spans="2:9" ht="30" customHeight="1" x14ac:dyDescent="0.25">
      <c r="B92" s="38">
        <v>3225</v>
      </c>
      <c r="C92" s="39"/>
      <c r="D92" s="27"/>
      <c r="E92" s="43" t="s">
        <v>106</v>
      </c>
      <c r="F92" s="52">
        <v>25200</v>
      </c>
      <c r="G92" s="52">
        <v>25200</v>
      </c>
      <c r="H92" s="51">
        <f>677.59+61.54</f>
        <v>739.13</v>
      </c>
      <c r="I92" s="51">
        <f t="shared" si="9"/>
        <v>2.9330555555555553</v>
      </c>
    </row>
    <row r="93" spans="2:9" ht="25.5" x14ac:dyDescent="0.25">
      <c r="B93" s="117" t="s">
        <v>7</v>
      </c>
      <c r="C93" s="118"/>
      <c r="D93" s="118"/>
      <c r="E93" s="119"/>
      <c r="F93" s="23" t="s">
        <v>42</v>
      </c>
      <c r="G93" s="23" t="s">
        <v>197</v>
      </c>
      <c r="H93" s="23" t="s">
        <v>185</v>
      </c>
      <c r="I93" s="23" t="s">
        <v>40</v>
      </c>
    </row>
    <row r="94" spans="2:9" s="26" customFormat="1" ht="11.25" x14ac:dyDescent="0.2">
      <c r="B94" s="120">
        <v>1</v>
      </c>
      <c r="C94" s="121"/>
      <c r="D94" s="121"/>
      <c r="E94" s="122"/>
      <c r="F94" s="25">
        <v>2</v>
      </c>
      <c r="G94" s="25">
        <v>3</v>
      </c>
      <c r="H94" s="25">
        <v>4</v>
      </c>
      <c r="I94" s="25" t="s">
        <v>36</v>
      </c>
    </row>
    <row r="95" spans="2:9" ht="30" customHeight="1" x14ac:dyDescent="0.25">
      <c r="B95" s="38">
        <v>3227</v>
      </c>
      <c r="C95" s="39"/>
      <c r="D95" s="27"/>
      <c r="E95" s="43" t="s">
        <v>107</v>
      </c>
      <c r="F95" s="52">
        <v>39087</v>
      </c>
      <c r="G95" s="52">
        <v>39087</v>
      </c>
      <c r="H95" s="51">
        <f>6721.05+1585.54</f>
        <v>8306.59</v>
      </c>
      <c r="I95" s="51">
        <f t="shared" si="9"/>
        <v>21.251541433213088</v>
      </c>
    </row>
    <row r="96" spans="2:9" ht="30" customHeight="1" x14ac:dyDescent="0.25">
      <c r="B96" s="38">
        <v>3231</v>
      </c>
      <c r="C96" s="39"/>
      <c r="D96" s="27"/>
      <c r="E96" s="43" t="s">
        <v>109</v>
      </c>
      <c r="F96" s="52">
        <v>10800</v>
      </c>
      <c r="G96" s="52">
        <v>10800</v>
      </c>
      <c r="H96" s="51">
        <f>2724.42+945.02</f>
        <v>3669.44</v>
      </c>
      <c r="I96" s="51">
        <f t="shared" si="9"/>
        <v>33.976296296296297</v>
      </c>
    </row>
    <row r="97" spans="2:9" ht="30" customHeight="1" x14ac:dyDescent="0.25">
      <c r="B97" s="38">
        <v>3232</v>
      </c>
      <c r="C97" s="39"/>
      <c r="D97" s="27"/>
      <c r="E97" s="43" t="s">
        <v>110</v>
      </c>
      <c r="F97" s="52">
        <v>280000</v>
      </c>
      <c r="G97" s="52">
        <v>280000</v>
      </c>
      <c r="H97" s="51">
        <f>12487.3+3988.86</f>
        <v>16476.16</v>
      </c>
      <c r="I97" s="51">
        <f t="shared" si="9"/>
        <v>5.8843428571428573</v>
      </c>
    </row>
    <row r="98" spans="2:9" ht="30" customHeight="1" x14ac:dyDescent="0.25">
      <c r="B98" s="38">
        <v>3233</v>
      </c>
      <c r="C98" s="39"/>
      <c r="D98" s="27"/>
      <c r="E98" s="43" t="s">
        <v>111</v>
      </c>
      <c r="F98" s="52">
        <v>37270</v>
      </c>
      <c r="G98" s="52">
        <v>37270</v>
      </c>
      <c r="H98" s="51">
        <f>2599.2+189.6</f>
        <v>2788.7999999999997</v>
      </c>
      <c r="I98" s="51">
        <f t="shared" si="9"/>
        <v>7.4826938556479732</v>
      </c>
    </row>
    <row r="99" spans="2:9" ht="30" customHeight="1" x14ac:dyDescent="0.25">
      <c r="B99" s="38">
        <v>3234</v>
      </c>
      <c r="C99" s="39"/>
      <c r="D99" s="27"/>
      <c r="E99" s="43" t="s">
        <v>112</v>
      </c>
      <c r="F99" s="52">
        <v>65000</v>
      </c>
      <c r="G99" s="52">
        <v>65000</v>
      </c>
      <c r="H99" s="51">
        <f>27672.92+10846.21</f>
        <v>38519.129999999997</v>
      </c>
      <c r="I99" s="51">
        <f t="shared" si="9"/>
        <v>59.260199999999998</v>
      </c>
    </row>
    <row r="100" spans="2:9" ht="30" customHeight="1" x14ac:dyDescent="0.25">
      <c r="B100" s="38">
        <v>3235</v>
      </c>
      <c r="C100" s="39"/>
      <c r="D100" s="27"/>
      <c r="E100" s="43" t="s">
        <v>113</v>
      </c>
      <c r="F100" s="52">
        <v>5000</v>
      </c>
      <c r="G100" s="52">
        <v>5000</v>
      </c>
      <c r="H100" s="51"/>
      <c r="I100" s="51">
        <f t="shared" si="9"/>
        <v>0</v>
      </c>
    </row>
    <row r="101" spans="2:9" ht="30" customHeight="1" x14ac:dyDescent="0.25">
      <c r="B101" s="38">
        <v>3236</v>
      </c>
      <c r="C101" s="39"/>
      <c r="D101" s="27"/>
      <c r="E101" s="43" t="s">
        <v>114</v>
      </c>
      <c r="F101" s="52">
        <v>15000</v>
      </c>
      <c r="G101" s="52">
        <v>15000</v>
      </c>
      <c r="H101" s="51">
        <f>9428.03+1686.27</f>
        <v>11114.300000000001</v>
      </c>
      <c r="I101" s="51">
        <f t="shared" si="9"/>
        <v>74.095333333333329</v>
      </c>
    </row>
    <row r="102" spans="2:9" ht="30" customHeight="1" x14ac:dyDescent="0.25">
      <c r="B102" s="38">
        <v>3237</v>
      </c>
      <c r="C102" s="39"/>
      <c r="D102" s="27"/>
      <c r="E102" s="43" t="s">
        <v>115</v>
      </c>
      <c r="F102" s="52">
        <v>134747</v>
      </c>
      <c r="G102" s="52">
        <v>134747</v>
      </c>
      <c r="H102" s="51">
        <f>38203.99+56355.02</f>
        <v>94559.01</v>
      </c>
      <c r="I102" s="51">
        <f t="shared" si="9"/>
        <v>70.175224680326835</v>
      </c>
    </row>
    <row r="103" spans="2:9" ht="30" customHeight="1" x14ac:dyDescent="0.25">
      <c r="B103" s="38">
        <v>3238</v>
      </c>
      <c r="C103" s="39"/>
      <c r="D103" s="27"/>
      <c r="E103" s="43" t="s">
        <v>116</v>
      </c>
      <c r="F103" s="52">
        <v>75078</v>
      </c>
      <c r="G103" s="52">
        <v>75078</v>
      </c>
      <c r="H103" s="51">
        <f>24939.08+9346.96</f>
        <v>34286.04</v>
      </c>
      <c r="I103" s="51">
        <f t="shared" si="9"/>
        <v>45.667226084871736</v>
      </c>
    </row>
    <row r="104" spans="2:9" ht="30" customHeight="1" x14ac:dyDescent="0.25">
      <c r="B104" s="38">
        <v>3239</v>
      </c>
      <c r="C104" s="39"/>
      <c r="D104" s="27"/>
      <c r="E104" s="43" t="s">
        <v>117</v>
      </c>
      <c r="F104" s="52">
        <v>80000</v>
      </c>
      <c r="G104" s="52">
        <v>80000</v>
      </c>
      <c r="H104" s="51">
        <f>21770.46+4086.24</f>
        <v>25856.699999999997</v>
      </c>
      <c r="I104" s="51">
        <f t="shared" si="9"/>
        <v>32.320875000000001</v>
      </c>
    </row>
    <row r="105" spans="2:9" ht="30" customHeight="1" x14ac:dyDescent="0.25">
      <c r="B105" s="38">
        <v>3241</v>
      </c>
      <c r="C105" s="39"/>
      <c r="D105" s="27"/>
      <c r="E105" s="43" t="s">
        <v>118</v>
      </c>
      <c r="F105" s="52">
        <v>1650</v>
      </c>
      <c r="G105" s="52">
        <v>1650</v>
      </c>
      <c r="H105" s="51">
        <f>88.5+65.21</f>
        <v>153.70999999999998</v>
      </c>
      <c r="I105" s="51">
        <f t="shared" si="9"/>
        <v>9.3157575757575746</v>
      </c>
    </row>
    <row r="106" spans="2:9" ht="30" customHeight="1" x14ac:dyDescent="0.25">
      <c r="B106" s="38">
        <v>3291</v>
      </c>
      <c r="C106" s="39"/>
      <c r="D106" s="27"/>
      <c r="E106" s="44" t="s">
        <v>120</v>
      </c>
      <c r="F106" s="52">
        <v>13500</v>
      </c>
      <c r="G106" s="52">
        <v>13500</v>
      </c>
      <c r="H106" s="51">
        <f>6756.26+2336.79</f>
        <v>9093.0499999999993</v>
      </c>
      <c r="I106" s="51">
        <f t="shared" si="9"/>
        <v>67.355925925925916</v>
      </c>
    </row>
    <row r="107" spans="2:9" ht="30" customHeight="1" x14ac:dyDescent="0.25">
      <c r="B107" s="38">
        <v>3292</v>
      </c>
      <c r="C107" s="39"/>
      <c r="D107" s="27"/>
      <c r="E107" s="43" t="s">
        <v>121</v>
      </c>
      <c r="F107" s="52">
        <v>47500</v>
      </c>
      <c r="G107" s="52">
        <v>47500</v>
      </c>
      <c r="H107" s="51">
        <f>13219.55+232.41</f>
        <v>13451.96</v>
      </c>
      <c r="I107" s="51">
        <f t="shared" si="9"/>
        <v>28.319915789473683</v>
      </c>
    </row>
    <row r="108" spans="2:9" ht="30" customHeight="1" x14ac:dyDescent="0.25">
      <c r="B108" s="38">
        <v>3293</v>
      </c>
      <c r="C108" s="39"/>
      <c r="D108" s="27"/>
      <c r="E108" s="43" t="s">
        <v>122</v>
      </c>
      <c r="F108" s="52">
        <v>10300</v>
      </c>
      <c r="G108" s="52">
        <v>10300</v>
      </c>
      <c r="H108" s="51">
        <f>1255.34+440</f>
        <v>1695.34</v>
      </c>
      <c r="I108" s="51">
        <f t="shared" si="9"/>
        <v>16.459611650485435</v>
      </c>
    </row>
    <row r="109" spans="2:9" ht="30" customHeight="1" x14ac:dyDescent="0.25">
      <c r="B109" s="38">
        <v>3294</v>
      </c>
      <c r="C109" s="39"/>
      <c r="D109" s="27"/>
      <c r="E109" s="43" t="s">
        <v>123</v>
      </c>
      <c r="F109" s="52">
        <v>1100</v>
      </c>
      <c r="G109" s="52">
        <v>1100</v>
      </c>
      <c r="H109" s="51">
        <v>221.54</v>
      </c>
      <c r="I109" s="51">
        <f t="shared" si="9"/>
        <v>20.14</v>
      </c>
    </row>
    <row r="110" spans="2:9" ht="30" customHeight="1" x14ac:dyDescent="0.25">
      <c r="B110" s="38">
        <v>3295</v>
      </c>
      <c r="C110" s="39"/>
      <c r="D110" s="27"/>
      <c r="E110" s="43" t="s">
        <v>124</v>
      </c>
      <c r="F110" s="52">
        <v>15000</v>
      </c>
      <c r="G110" s="52">
        <v>15000</v>
      </c>
      <c r="H110" s="51">
        <f>5139.41+7200.01</f>
        <v>12339.42</v>
      </c>
      <c r="I110" s="51">
        <f t="shared" si="9"/>
        <v>82.262799999999999</v>
      </c>
    </row>
    <row r="111" spans="2:9" ht="30" customHeight="1" x14ac:dyDescent="0.25">
      <c r="B111" s="38">
        <v>3296</v>
      </c>
      <c r="C111" s="39"/>
      <c r="D111" s="27"/>
      <c r="E111" s="43" t="s">
        <v>125</v>
      </c>
      <c r="F111" s="52">
        <v>1500</v>
      </c>
      <c r="G111" s="52">
        <v>1500</v>
      </c>
      <c r="H111" s="51"/>
      <c r="I111" s="51">
        <f t="shared" si="9"/>
        <v>0</v>
      </c>
    </row>
    <row r="112" spans="2:9" ht="30" customHeight="1" x14ac:dyDescent="0.25">
      <c r="B112" s="38">
        <v>3299</v>
      </c>
      <c r="C112" s="39"/>
      <c r="D112" s="27"/>
      <c r="E112" s="43" t="s">
        <v>119</v>
      </c>
      <c r="F112" s="52">
        <v>45000</v>
      </c>
      <c r="G112" s="52">
        <v>45000</v>
      </c>
      <c r="H112" s="51">
        <f>6330.18+12369.78</f>
        <v>18699.96</v>
      </c>
      <c r="I112" s="51">
        <f t="shared" si="9"/>
        <v>41.555466666666661</v>
      </c>
    </row>
    <row r="113" spans="2:9" ht="30" customHeight="1" x14ac:dyDescent="0.25">
      <c r="B113" s="38">
        <v>34</v>
      </c>
      <c r="C113" s="39"/>
      <c r="D113" s="27"/>
      <c r="E113" s="43" t="s">
        <v>126</v>
      </c>
      <c r="F113" s="52">
        <f>SUM(F114:F115)</f>
        <v>14500</v>
      </c>
      <c r="G113" s="52">
        <f>SUM(G114:G115)</f>
        <v>14500</v>
      </c>
      <c r="H113" s="52">
        <f t="shared" ref="H113" si="11">SUM(H114:H115)</f>
        <v>4561.08</v>
      </c>
      <c r="I113" s="51">
        <f t="shared" si="9"/>
        <v>31.455724137931036</v>
      </c>
    </row>
    <row r="114" spans="2:9" ht="30" customHeight="1" x14ac:dyDescent="0.25">
      <c r="B114" s="38">
        <v>3431</v>
      </c>
      <c r="C114" s="39"/>
      <c r="D114" s="27"/>
      <c r="E114" s="43" t="s">
        <v>128</v>
      </c>
      <c r="F114" s="52">
        <v>14500</v>
      </c>
      <c r="G114" s="52">
        <v>14500</v>
      </c>
      <c r="H114" s="51">
        <f>2650.29+1905.87</f>
        <v>4556.16</v>
      </c>
      <c r="I114" s="51">
        <f t="shared" si="9"/>
        <v>31.421793103448277</v>
      </c>
    </row>
    <row r="115" spans="2:9" ht="30" customHeight="1" x14ac:dyDescent="0.25">
      <c r="B115" s="38">
        <v>3433</v>
      </c>
      <c r="C115" s="39"/>
      <c r="D115" s="27"/>
      <c r="E115" s="43" t="s">
        <v>130</v>
      </c>
      <c r="F115" s="52">
        <v>0</v>
      </c>
      <c r="G115" s="52">
        <v>0</v>
      </c>
      <c r="H115" s="51">
        <v>4.92</v>
      </c>
      <c r="I115" s="51"/>
    </row>
    <row r="116" spans="2:9" ht="30" customHeight="1" x14ac:dyDescent="0.25">
      <c r="B116" s="38">
        <v>36</v>
      </c>
      <c r="C116" s="39"/>
      <c r="D116" s="27"/>
      <c r="E116" s="43" t="s">
        <v>131</v>
      </c>
      <c r="F116" s="52">
        <f>SUM(F117)</f>
        <v>124800</v>
      </c>
      <c r="G116" s="52">
        <f>SUM(G117)</f>
        <v>124800</v>
      </c>
      <c r="H116" s="52">
        <f t="shared" ref="H116" si="12">SUM(H117)</f>
        <v>0</v>
      </c>
      <c r="I116" s="51">
        <f t="shared" si="9"/>
        <v>0</v>
      </c>
    </row>
    <row r="117" spans="2:9" ht="30" customHeight="1" x14ac:dyDescent="0.25">
      <c r="B117" s="38">
        <v>3691</v>
      </c>
      <c r="C117" s="39"/>
      <c r="D117" s="27"/>
      <c r="E117" s="43" t="s">
        <v>64</v>
      </c>
      <c r="F117" s="52">
        <v>124800</v>
      </c>
      <c r="G117" s="52">
        <v>124800</v>
      </c>
      <c r="H117" s="51">
        <v>0</v>
      </c>
      <c r="I117" s="51">
        <f t="shared" si="9"/>
        <v>0</v>
      </c>
    </row>
    <row r="118" spans="2:9" ht="30" hidden="1" customHeight="1" x14ac:dyDescent="0.25">
      <c r="B118" s="38">
        <v>38</v>
      </c>
      <c r="C118" s="39"/>
      <c r="D118" s="27"/>
      <c r="E118" s="43" t="s">
        <v>176</v>
      </c>
      <c r="F118" s="52">
        <f>SUM(F119)</f>
        <v>0</v>
      </c>
      <c r="G118" s="52">
        <f>SUM(G119)</f>
        <v>0</v>
      </c>
      <c r="H118" s="52">
        <f t="shared" ref="H118" si="13">SUM(H119)</f>
        <v>0</v>
      </c>
      <c r="I118" s="51"/>
    </row>
    <row r="119" spans="2:9" ht="30" hidden="1" customHeight="1" x14ac:dyDescent="0.25">
      <c r="B119" s="38">
        <v>3835</v>
      </c>
      <c r="C119" s="39"/>
      <c r="D119" s="27"/>
      <c r="E119" s="43" t="s">
        <v>81</v>
      </c>
      <c r="F119" s="52"/>
      <c r="G119" s="52"/>
      <c r="H119" s="51"/>
      <c r="I119" s="51"/>
    </row>
    <row r="120" spans="2:9" ht="30" customHeight="1" x14ac:dyDescent="0.25">
      <c r="B120" s="38">
        <v>42</v>
      </c>
      <c r="C120" s="39"/>
      <c r="D120" s="27"/>
      <c r="E120" s="43" t="s">
        <v>135</v>
      </c>
      <c r="F120" s="52">
        <f>SUM(F121:F132)</f>
        <v>95350</v>
      </c>
      <c r="G120" s="52">
        <f>SUM(G121:G132)</f>
        <v>95350</v>
      </c>
      <c r="H120" s="52">
        <f t="shared" ref="H120" si="14">SUM(H121:H132)</f>
        <v>95186.94</v>
      </c>
      <c r="I120" s="51">
        <f t="shared" si="9"/>
        <v>99.828987939171469</v>
      </c>
    </row>
    <row r="121" spans="2:9" ht="30" customHeight="1" x14ac:dyDescent="0.25">
      <c r="B121" s="38">
        <v>4212</v>
      </c>
      <c r="C121" s="39"/>
      <c r="D121" s="27"/>
      <c r="E121" s="43" t="s">
        <v>137</v>
      </c>
      <c r="F121" s="52">
        <v>0</v>
      </c>
      <c r="G121" s="52">
        <v>0</v>
      </c>
      <c r="H121" s="51">
        <v>4000</v>
      </c>
      <c r="I121" s="51"/>
    </row>
    <row r="122" spans="2:9" ht="30" customHeight="1" x14ac:dyDescent="0.25">
      <c r="B122" s="38">
        <v>4214</v>
      </c>
      <c r="C122" s="39"/>
      <c r="D122" s="27"/>
      <c r="E122" s="43" t="s">
        <v>135</v>
      </c>
      <c r="F122" s="52">
        <v>2650</v>
      </c>
      <c r="G122" s="52">
        <v>2650</v>
      </c>
      <c r="H122" s="51"/>
      <c r="I122" s="51">
        <f t="shared" si="9"/>
        <v>0</v>
      </c>
    </row>
    <row r="123" spans="2:9" ht="30" customHeight="1" x14ac:dyDescent="0.25">
      <c r="B123" s="38">
        <v>4221</v>
      </c>
      <c r="C123" s="39"/>
      <c r="D123" s="27"/>
      <c r="E123" s="43" t="s">
        <v>140</v>
      </c>
      <c r="F123" s="52">
        <v>5000</v>
      </c>
      <c r="G123" s="52">
        <v>5000</v>
      </c>
      <c r="H123" s="51">
        <f>224.7+455</f>
        <v>679.7</v>
      </c>
      <c r="I123" s="51">
        <f t="shared" si="9"/>
        <v>13.594000000000001</v>
      </c>
    </row>
    <row r="124" spans="2:9" ht="30" customHeight="1" x14ac:dyDescent="0.25">
      <c r="B124" s="38">
        <v>4222</v>
      </c>
      <c r="C124" s="39"/>
      <c r="D124" s="27"/>
      <c r="E124" s="43" t="s">
        <v>141</v>
      </c>
      <c r="F124" s="52">
        <v>5000</v>
      </c>
      <c r="G124" s="52">
        <v>5000</v>
      </c>
      <c r="H124" s="51">
        <v>10033.44</v>
      </c>
      <c r="I124" s="51">
        <f t="shared" si="9"/>
        <v>200.6688</v>
      </c>
    </row>
    <row r="125" spans="2:9" ht="30" customHeight="1" x14ac:dyDescent="0.25">
      <c r="B125" s="38">
        <v>4223</v>
      </c>
      <c r="C125" s="39"/>
      <c r="D125" s="27"/>
      <c r="E125" s="43" t="s">
        <v>142</v>
      </c>
      <c r="F125" s="52">
        <v>5000</v>
      </c>
      <c r="G125" s="52">
        <v>5000</v>
      </c>
      <c r="H125" s="51">
        <f>13344.3+7643.6</f>
        <v>20987.9</v>
      </c>
      <c r="I125" s="51">
        <f t="shared" si="9"/>
        <v>419.75800000000004</v>
      </c>
    </row>
    <row r="126" spans="2:9" ht="30" customHeight="1" x14ac:dyDescent="0.25">
      <c r="B126" s="38">
        <v>4224</v>
      </c>
      <c r="C126" s="39"/>
      <c r="D126" s="27"/>
      <c r="E126" s="43" t="s">
        <v>143</v>
      </c>
      <c r="F126" s="52">
        <v>1000</v>
      </c>
      <c r="G126" s="52">
        <v>1000</v>
      </c>
      <c r="H126" s="51">
        <v>0</v>
      </c>
      <c r="I126" s="51">
        <f t="shared" si="9"/>
        <v>0</v>
      </c>
    </row>
    <row r="127" spans="2:9" ht="30" customHeight="1" x14ac:dyDescent="0.25">
      <c r="B127" s="38">
        <v>4225</v>
      </c>
      <c r="C127" s="39"/>
      <c r="D127" s="27"/>
      <c r="E127" s="43" t="s">
        <v>144</v>
      </c>
      <c r="F127" s="52">
        <v>14670</v>
      </c>
      <c r="G127" s="52">
        <v>14670</v>
      </c>
      <c r="H127" s="51">
        <f>2106.3+1983.2</f>
        <v>4089.5</v>
      </c>
      <c r="I127" s="51">
        <f t="shared" si="9"/>
        <v>27.87661895023858</v>
      </c>
    </row>
    <row r="128" spans="2:9" ht="30" hidden="1" customHeight="1" x14ac:dyDescent="0.25">
      <c r="B128" s="38">
        <v>4226</v>
      </c>
      <c r="C128" s="39"/>
      <c r="D128" s="27"/>
      <c r="E128" s="43" t="s">
        <v>145</v>
      </c>
      <c r="F128" s="52">
        <v>0</v>
      </c>
      <c r="G128" s="52">
        <v>0</v>
      </c>
      <c r="H128" s="51"/>
      <c r="I128" s="51"/>
    </row>
    <row r="129" spans="2:9" ht="30" customHeight="1" x14ac:dyDescent="0.25">
      <c r="B129" s="38">
        <v>4227</v>
      </c>
      <c r="C129" s="39"/>
      <c r="D129" s="27"/>
      <c r="E129" s="43" t="s">
        <v>92</v>
      </c>
      <c r="F129" s="52">
        <v>14430</v>
      </c>
      <c r="G129" s="52">
        <v>14430</v>
      </c>
      <c r="H129" s="51">
        <f>9386.6+3820.8</f>
        <v>13207.400000000001</v>
      </c>
      <c r="I129" s="51">
        <f t="shared" si="9"/>
        <v>91.527373527373541</v>
      </c>
    </row>
    <row r="130" spans="2:9" ht="30" customHeight="1" x14ac:dyDescent="0.25">
      <c r="B130" s="38">
        <v>4231</v>
      </c>
      <c r="C130" s="39"/>
      <c r="D130" s="27"/>
      <c r="E130" s="43" t="s">
        <v>84</v>
      </c>
      <c r="F130" s="52">
        <v>45000</v>
      </c>
      <c r="G130" s="52">
        <v>45000</v>
      </c>
      <c r="H130" s="51">
        <v>33189</v>
      </c>
      <c r="I130" s="51">
        <f t="shared" si="9"/>
        <v>73.75333333333333</v>
      </c>
    </row>
    <row r="131" spans="2:9" ht="30" customHeight="1" x14ac:dyDescent="0.25">
      <c r="B131" s="38">
        <v>4242</v>
      </c>
      <c r="C131" s="39"/>
      <c r="D131" s="27"/>
      <c r="E131" s="43" t="s">
        <v>190</v>
      </c>
      <c r="F131" s="52"/>
      <c r="G131" s="52"/>
      <c r="H131" s="52">
        <v>9000</v>
      </c>
      <c r="I131" s="51"/>
    </row>
    <row r="132" spans="2:9" ht="30" customHeight="1" x14ac:dyDescent="0.25">
      <c r="B132" s="38">
        <v>4252</v>
      </c>
      <c r="C132" s="39"/>
      <c r="D132" s="27"/>
      <c r="E132" s="43" t="s">
        <v>86</v>
      </c>
      <c r="F132" s="52">
        <v>2600</v>
      </c>
      <c r="G132" s="52">
        <v>2600</v>
      </c>
      <c r="H132" s="52"/>
      <c r="I132" s="51"/>
    </row>
    <row r="133" spans="2:9" ht="30" customHeight="1" x14ac:dyDescent="0.25">
      <c r="B133" s="74" t="s">
        <v>177</v>
      </c>
      <c r="C133" s="75"/>
      <c r="D133" s="76"/>
      <c r="E133" s="71" t="s">
        <v>166</v>
      </c>
      <c r="F133" s="78">
        <f>SUM(F134,F136,F149)</f>
        <v>475489</v>
      </c>
      <c r="G133" s="78">
        <f>SUM(G134,G136,G149)</f>
        <v>475487</v>
      </c>
      <c r="H133" s="78">
        <f t="shared" ref="H133" si="15">SUM(H134,H136,H149)</f>
        <v>222866.76</v>
      </c>
      <c r="I133" s="79">
        <f t="shared" si="9"/>
        <v>46.87126251611506</v>
      </c>
    </row>
    <row r="134" spans="2:9" ht="30" customHeight="1" x14ac:dyDescent="0.25">
      <c r="B134" s="38">
        <v>31</v>
      </c>
      <c r="C134" s="39"/>
      <c r="D134" s="27"/>
      <c r="E134" s="43" t="s">
        <v>5</v>
      </c>
      <c r="F134" s="52">
        <f>SUM(F135)</f>
        <v>14400</v>
      </c>
      <c r="G134" s="52">
        <f>SUM(G135)</f>
        <v>14400</v>
      </c>
      <c r="H134" s="52">
        <f t="shared" ref="H134" si="16">SUM(H135)</f>
        <v>1170.31</v>
      </c>
      <c r="I134" s="51">
        <f t="shared" si="9"/>
        <v>8.127152777777777</v>
      </c>
    </row>
    <row r="135" spans="2:9" ht="30" customHeight="1" x14ac:dyDescent="0.25">
      <c r="B135" s="38">
        <v>3111</v>
      </c>
      <c r="C135" s="39"/>
      <c r="D135" s="27"/>
      <c r="E135" s="43" t="s">
        <v>30</v>
      </c>
      <c r="F135" s="52">
        <v>14400</v>
      </c>
      <c r="G135" s="52">
        <v>14400</v>
      </c>
      <c r="H135" s="51">
        <v>1170.31</v>
      </c>
      <c r="I135" s="51">
        <f t="shared" si="9"/>
        <v>8.127152777777777</v>
      </c>
    </row>
    <row r="136" spans="2:9" ht="30" customHeight="1" x14ac:dyDescent="0.25">
      <c r="B136" s="38">
        <v>32</v>
      </c>
      <c r="C136" s="39"/>
      <c r="D136" s="27"/>
      <c r="E136" s="43" t="s">
        <v>10</v>
      </c>
      <c r="F136" s="52">
        <f>SUM(F137:F148)</f>
        <v>413409</v>
      </c>
      <c r="G136" s="52">
        <f>SUM(G137,G140:G148)</f>
        <v>413407</v>
      </c>
      <c r="H136" s="52">
        <f>SUM(H137,H140:H148)</f>
        <v>220287.19</v>
      </c>
      <c r="I136" s="51">
        <f t="shared" si="9"/>
        <v>53.285791000152393</v>
      </c>
    </row>
    <row r="137" spans="2:9" ht="30" customHeight="1" x14ac:dyDescent="0.25">
      <c r="B137" s="38">
        <v>3211</v>
      </c>
      <c r="C137" s="39"/>
      <c r="D137" s="27"/>
      <c r="E137" s="43" t="s">
        <v>32</v>
      </c>
      <c r="F137" s="52">
        <v>2400</v>
      </c>
      <c r="G137" s="52">
        <v>2400</v>
      </c>
      <c r="H137" s="52"/>
      <c r="I137" s="51"/>
    </row>
    <row r="138" spans="2:9" ht="25.5" x14ac:dyDescent="0.25">
      <c r="B138" s="117" t="s">
        <v>7</v>
      </c>
      <c r="C138" s="118"/>
      <c r="D138" s="118"/>
      <c r="E138" s="119"/>
      <c r="F138" s="23" t="s">
        <v>42</v>
      </c>
      <c r="G138" s="23" t="s">
        <v>197</v>
      </c>
      <c r="H138" s="23" t="s">
        <v>185</v>
      </c>
      <c r="I138" s="23" t="s">
        <v>40</v>
      </c>
    </row>
    <row r="139" spans="2:9" s="26" customFormat="1" ht="11.25" x14ac:dyDescent="0.2">
      <c r="B139" s="120">
        <v>1</v>
      </c>
      <c r="C139" s="121"/>
      <c r="D139" s="121"/>
      <c r="E139" s="122"/>
      <c r="F139" s="25">
        <v>2</v>
      </c>
      <c r="G139" s="25">
        <v>3</v>
      </c>
      <c r="H139" s="25">
        <v>4</v>
      </c>
      <c r="I139" s="25" t="s">
        <v>36</v>
      </c>
    </row>
    <row r="140" spans="2:9" ht="30" customHeight="1" x14ac:dyDescent="0.25">
      <c r="B140" s="38">
        <v>3213</v>
      </c>
      <c r="C140" s="39"/>
      <c r="D140" s="27"/>
      <c r="E140" s="43" t="s">
        <v>99</v>
      </c>
      <c r="F140" s="52">
        <v>1200</v>
      </c>
      <c r="G140" s="52">
        <v>1200</v>
      </c>
      <c r="H140" s="52"/>
      <c r="I140" s="51"/>
    </row>
    <row r="141" spans="2:9" ht="30" customHeight="1" x14ac:dyDescent="0.25">
      <c r="B141" s="38">
        <v>3221</v>
      </c>
      <c r="C141" s="39"/>
      <c r="D141" s="27"/>
      <c r="E141" s="43" t="s">
        <v>102</v>
      </c>
      <c r="F141" s="52">
        <v>1200</v>
      </c>
      <c r="G141" s="52">
        <v>1200</v>
      </c>
      <c r="H141" s="52"/>
      <c r="I141" s="51"/>
    </row>
    <row r="142" spans="2:9" ht="30" customHeight="1" x14ac:dyDescent="0.25">
      <c r="B142" s="38">
        <v>3222</v>
      </c>
      <c r="C142" s="39"/>
      <c r="D142" s="27"/>
      <c r="E142" s="43" t="s">
        <v>103</v>
      </c>
      <c r="F142" s="52">
        <v>18355</v>
      </c>
      <c r="G142" s="52">
        <v>18355</v>
      </c>
      <c r="H142" s="51">
        <v>469.07</v>
      </c>
      <c r="I142" s="51">
        <f t="shared" si="9"/>
        <v>2.5555434486515938</v>
      </c>
    </row>
    <row r="143" spans="2:9" ht="30" customHeight="1" x14ac:dyDescent="0.25">
      <c r="B143" s="38">
        <v>3224</v>
      </c>
      <c r="C143" s="39"/>
      <c r="D143" s="27"/>
      <c r="E143" s="43" t="s">
        <v>105</v>
      </c>
      <c r="F143" s="52">
        <v>8000</v>
      </c>
      <c r="G143" s="52">
        <v>8000</v>
      </c>
      <c r="H143" s="51"/>
      <c r="I143" s="51"/>
    </row>
    <row r="144" spans="2:9" ht="30" customHeight="1" x14ac:dyDescent="0.25">
      <c r="B144" s="38">
        <v>3232</v>
      </c>
      <c r="C144" s="39"/>
      <c r="D144" s="27"/>
      <c r="E144" s="43" t="s">
        <v>110</v>
      </c>
      <c r="F144" s="52">
        <v>222485</v>
      </c>
      <c r="G144" s="52">
        <v>222485</v>
      </c>
      <c r="H144" s="51">
        <v>215874.38</v>
      </c>
      <c r="I144" s="51">
        <f t="shared" si="9"/>
        <v>97.028734521428419</v>
      </c>
    </row>
    <row r="145" spans="2:9" ht="30" customHeight="1" x14ac:dyDescent="0.25">
      <c r="B145" s="38">
        <v>3233</v>
      </c>
      <c r="C145" s="39"/>
      <c r="D145" s="27"/>
      <c r="E145" s="43" t="s">
        <v>111</v>
      </c>
      <c r="F145" s="52">
        <v>2080</v>
      </c>
      <c r="G145" s="52">
        <v>2080</v>
      </c>
      <c r="H145" s="51"/>
      <c r="I145" s="51"/>
    </row>
    <row r="146" spans="2:9" ht="30" customHeight="1" x14ac:dyDescent="0.25">
      <c r="B146" s="38">
        <v>3237</v>
      </c>
      <c r="C146" s="39"/>
      <c r="D146" s="27"/>
      <c r="E146" s="43" t="s">
        <v>115</v>
      </c>
      <c r="F146" s="52">
        <v>139607</v>
      </c>
      <c r="G146" s="52">
        <v>139607</v>
      </c>
      <c r="H146" s="51">
        <v>3943.74</v>
      </c>
      <c r="I146" s="51">
        <f t="shared" si="9"/>
        <v>2.8248870042333118</v>
      </c>
    </row>
    <row r="147" spans="2:9" ht="30" customHeight="1" x14ac:dyDescent="0.25">
      <c r="B147" s="38">
        <v>3238</v>
      </c>
      <c r="C147" s="39"/>
      <c r="D147" s="27"/>
      <c r="E147" s="43" t="s">
        <v>116</v>
      </c>
      <c r="F147" s="52">
        <v>800</v>
      </c>
      <c r="G147" s="52">
        <v>800</v>
      </c>
      <c r="H147" s="52"/>
      <c r="I147" s="51"/>
    </row>
    <row r="148" spans="2:9" ht="30" customHeight="1" x14ac:dyDescent="0.25">
      <c r="B148" s="38">
        <v>3239</v>
      </c>
      <c r="C148" s="39"/>
      <c r="D148" s="27"/>
      <c r="E148" s="43" t="s">
        <v>117</v>
      </c>
      <c r="F148" s="52">
        <v>17280</v>
      </c>
      <c r="G148" s="52">
        <v>17280</v>
      </c>
      <c r="H148" s="52"/>
      <c r="I148" s="51"/>
    </row>
    <row r="149" spans="2:9" ht="30" customHeight="1" x14ac:dyDescent="0.25">
      <c r="B149" s="38">
        <v>42</v>
      </c>
      <c r="C149" s="39"/>
      <c r="D149" s="27"/>
      <c r="E149" s="43" t="s">
        <v>135</v>
      </c>
      <c r="F149" s="52">
        <f>SUM(F150:F154)</f>
        <v>47680</v>
      </c>
      <c r="G149" s="52">
        <f>SUM(G150:G154)</f>
        <v>47680</v>
      </c>
      <c r="H149" s="52">
        <f t="shared" ref="H149" si="17">SUM(H150:H154)</f>
        <v>1409.26</v>
      </c>
      <c r="I149" s="51">
        <f t="shared" si="9"/>
        <v>2.9556627516778526</v>
      </c>
    </row>
    <row r="150" spans="2:9" ht="30" customHeight="1" x14ac:dyDescent="0.25">
      <c r="B150" s="38">
        <v>4214</v>
      </c>
      <c r="C150" s="39"/>
      <c r="D150" s="27"/>
      <c r="E150" s="43" t="s">
        <v>135</v>
      </c>
      <c r="F150" s="52">
        <v>7000</v>
      </c>
      <c r="G150" s="52">
        <v>7000</v>
      </c>
      <c r="H150" s="51"/>
      <c r="I150" s="51">
        <f t="shared" si="9"/>
        <v>0</v>
      </c>
    </row>
    <row r="151" spans="2:9" ht="30" customHeight="1" x14ac:dyDescent="0.25">
      <c r="B151" s="38">
        <v>4221</v>
      </c>
      <c r="C151" s="39"/>
      <c r="D151" s="27"/>
      <c r="E151" s="43" t="s">
        <v>140</v>
      </c>
      <c r="F151" s="52">
        <v>1600</v>
      </c>
      <c r="G151" s="52">
        <v>1600</v>
      </c>
      <c r="H151" s="51">
        <v>1020</v>
      </c>
      <c r="I151" s="51"/>
    </row>
    <row r="152" spans="2:9" ht="30" hidden="1" customHeight="1" x14ac:dyDescent="0.25">
      <c r="B152" s="38">
        <v>4223</v>
      </c>
      <c r="C152" s="39"/>
      <c r="D152" s="27"/>
      <c r="E152" s="43" t="s">
        <v>142</v>
      </c>
      <c r="F152" s="52"/>
      <c r="G152" s="52"/>
      <c r="H152" s="51"/>
      <c r="I152" s="51"/>
    </row>
    <row r="153" spans="2:9" ht="30" customHeight="1" x14ac:dyDescent="0.25">
      <c r="B153" s="38">
        <v>4225</v>
      </c>
      <c r="C153" s="39"/>
      <c r="D153" s="27"/>
      <c r="E153" s="43" t="s">
        <v>92</v>
      </c>
      <c r="F153" s="52">
        <v>19080</v>
      </c>
      <c r="G153" s="52">
        <v>19080</v>
      </c>
      <c r="H153" s="51"/>
      <c r="I153" s="51"/>
    </row>
    <row r="154" spans="2:9" ht="30" customHeight="1" x14ac:dyDescent="0.25">
      <c r="B154" s="127">
        <v>4227</v>
      </c>
      <c r="C154" s="127"/>
      <c r="D154" s="127"/>
      <c r="E154" s="43" t="s">
        <v>186</v>
      </c>
      <c r="F154" s="52">
        <v>20000</v>
      </c>
      <c r="G154" s="52">
        <v>20000</v>
      </c>
      <c r="H154" s="51">
        <v>389.26</v>
      </c>
      <c r="I154" s="51">
        <f t="shared" si="9"/>
        <v>1.9463000000000001</v>
      </c>
    </row>
    <row r="155" spans="2:9" ht="30" customHeight="1" x14ac:dyDescent="0.25">
      <c r="B155" s="74" t="s">
        <v>178</v>
      </c>
      <c r="C155" s="75"/>
      <c r="D155" s="76"/>
      <c r="E155" s="71" t="s">
        <v>167</v>
      </c>
      <c r="F155" s="78">
        <f>SUM(F156)</f>
        <v>0</v>
      </c>
      <c r="G155" s="78">
        <f>SUM(G156)</f>
        <v>0</v>
      </c>
      <c r="H155" s="78">
        <f t="shared" ref="H155" si="18">SUM(H156)</f>
        <v>593.9</v>
      </c>
      <c r="I155" s="79"/>
    </row>
    <row r="156" spans="2:9" ht="30" customHeight="1" x14ac:dyDescent="0.25">
      <c r="B156" s="38">
        <v>32</v>
      </c>
      <c r="C156" s="39"/>
      <c r="D156" s="27"/>
      <c r="E156" s="43" t="s">
        <v>10</v>
      </c>
      <c r="F156" s="52">
        <f t="shared" ref="F156:G156" si="19">SUM(F157:F158)</f>
        <v>0</v>
      </c>
      <c r="G156" s="52">
        <f t="shared" si="19"/>
        <v>0</v>
      </c>
      <c r="H156" s="52">
        <f>SUM(H157:H158)</f>
        <v>593.9</v>
      </c>
      <c r="I156" s="51"/>
    </row>
    <row r="157" spans="2:9" ht="30" customHeight="1" x14ac:dyDescent="0.25">
      <c r="B157" s="38">
        <v>3222</v>
      </c>
      <c r="C157" s="39"/>
      <c r="D157" s="27"/>
      <c r="E157" s="43" t="s">
        <v>103</v>
      </c>
      <c r="F157" s="52"/>
      <c r="G157" s="52">
        <v>0</v>
      </c>
      <c r="H157" s="52">
        <v>593.9</v>
      </c>
      <c r="I157" s="51"/>
    </row>
    <row r="158" spans="2:9" ht="30" hidden="1" customHeight="1" x14ac:dyDescent="0.25">
      <c r="B158" s="38">
        <v>3225</v>
      </c>
      <c r="C158" s="39"/>
      <c r="D158" s="27"/>
      <c r="E158" s="43" t="s">
        <v>106</v>
      </c>
      <c r="F158" s="52"/>
      <c r="G158" s="52"/>
      <c r="H158" s="51">
        <v>0</v>
      </c>
      <c r="I158" s="51"/>
    </row>
    <row r="159" spans="2:9" ht="30" customHeight="1" x14ac:dyDescent="0.25">
      <c r="B159" s="74" t="s">
        <v>180</v>
      </c>
      <c r="C159" s="75"/>
      <c r="D159" s="76"/>
      <c r="E159" s="71" t="s">
        <v>179</v>
      </c>
      <c r="F159" s="78">
        <f>SUM(F160)</f>
        <v>80000</v>
      </c>
      <c r="G159" s="78">
        <f>SUM(G160)</f>
        <v>80000</v>
      </c>
      <c r="H159" s="78">
        <f t="shared" ref="H159" si="20">SUM(H160)</f>
        <v>800</v>
      </c>
      <c r="I159" s="79">
        <f t="shared" ref="I159:I165" si="21">H159/G159*100</f>
        <v>1</v>
      </c>
    </row>
    <row r="160" spans="2:9" ht="30" customHeight="1" x14ac:dyDescent="0.25">
      <c r="B160" s="127">
        <v>42</v>
      </c>
      <c r="C160" s="127"/>
      <c r="D160" s="127"/>
      <c r="E160" s="43" t="s">
        <v>135</v>
      </c>
      <c r="F160" s="52">
        <f>SUM(F161:F165)</f>
        <v>80000</v>
      </c>
      <c r="G160" s="52">
        <f>SUM(G161:G165)</f>
        <v>80000</v>
      </c>
      <c r="H160" s="52">
        <f t="shared" ref="H160" si="22">SUM(H161:H165)</f>
        <v>800</v>
      </c>
      <c r="I160" s="51">
        <f t="shared" si="21"/>
        <v>1</v>
      </c>
    </row>
    <row r="161" spans="2:9" ht="30" customHeight="1" x14ac:dyDescent="0.25">
      <c r="B161" s="38">
        <v>4223</v>
      </c>
      <c r="C161" s="39"/>
      <c r="D161" s="27"/>
      <c r="E161" s="43" t="s">
        <v>142</v>
      </c>
      <c r="F161" s="52">
        <v>20000</v>
      </c>
      <c r="G161" s="52">
        <v>20000</v>
      </c>
      <c r="H161" s="51"/>
      <c r="I161" s="51">
        <f t="shared" si="21"/>
        <v>0</v>
      </c>
    </row>
    <row r="162" spans="2:9" ht="30" customHeight="1" x14ac:dyDescent="0.25">
      <c r="B162" s="38">
        <v>4225</v>
      </c>
      <c r="C162" s="39"/>
      <c r="D162" s="27"/>
      <c r="E162" s="43" t="s">
        <v>144</v>
      </c>
      <c r="F162" s="52">
        <v>5000</v>
      </c>
      <c r="G162" s="52">
        <v>5000</v>
      </c>
      <c r="H162" s="51"/>
      <c r="I162" s="51">
        <f t="shared" si="21"/>
        <v>0</v>
      </c>
    </row>
    <row r="163" spans="2:9" ht="30" customHeight="1" x14ac:dyDescent="0.25">
      <c r="B163" s="38">
        <v>4227</v>
      </c>
      <c r="C163" s="39"/>
      <c r="D163" s="27"/>
      <c r="E163" s="43" t="s">
        <v>92</v>
      </c>
      <c r="F163" s="52">
        <v>25000</v>
      </c>
      <c r="G163" s="52">
        <v>25000</v>
      </c>
      <c r="H163" s="51">
        <v>800</v>
      </c>
      <c r="I163" s="51">
        <f t="shared" si="21"/>
        <v>3.2</v>
      </c>
    </row>
    <row r="164" spans="2:9" ht="30" hidden="1" customHeight="1" x14ac:dyDescent="0.25">
      <c r="B164" s="38">
        <v>4231</v>
      </c>
      <c r="C164" s="39"/>
      <c r="D164" s="27"/>
      <c r="E164" s="43" t="s">
        <v>84</v>
      </c>
      <c r="F164" s="52"/>
      <c r="G164" s="52"/>
      <c r="H164" s="51"/>
      <c r="I164" s="51"/>
    </row>
    <row r="165" spans="2:9" ht="30" customHeight="1" x14ac:dyDescent="0.25">
      <c r="B165" s="124">
        <v>4252</v>
      </c>
      <c r="C165" s="125"/>
      <c r="D165" s="126"/>
      <c r="E165" s="29" t="s">
        <v>86</v>
      </c>
      <c r="F165" s="52">
        <v>30000</v>
      </c>
      <c r="G165" s="52">
        <v>30000</v>
      </c>
      <c r="H165" s="51"/>
      <c r="I165" s="51">
        <f t="shared" si="21"/>
        <v>0</v>
      </c>
    </row>
    <row r="168" spans="2:9" x14ac:dyDescent="0.25">
      <c r="B168" s="28"/>
      <c r="C168" s="28"/>
      <c r="D168" s="28"/>
      <c r="E168" s="49"/>
      <c r="F168" s="28"/>
      <c r="G168" s="28"/>
      <c r="H168" s="28"/>
      <c r="I168" s="28"/>
    </row>
    <row r="169" spans="2:9" x14ac:dyDescent="0.25">
      <c r="B169" s="28"/>
      <c r="C169" s="28"/>
      <c r="D169" s="28"/>
      <c r="E169" s="49"/>
      <c r="F169" s="28"/>
      <c r="G169" s="28"/>
      <c r="H169" s="28"/>
      <c r="I169" s="28"/>
    </row>
    <row r="170" spans="2:9" x14ac:dyDescent="0.25">
      <c r="B170" s="28"/>
      <c r="C170" s="28"/>
      <c r="D170" s="28"/>
      <c r="E170" s="49"/>
      <c r="F170" s="28"/>
      <c r="G170" s="28"/>
      <c r="H170" s="28"/>
      <c r="I170" s="28"/>
    </row>
  </sheetData>
  <mergeCells count="27">
    <mergeCell ref="B9:D9"/>
    <mergeCell ref="B2:I2"/>
    <mergeCell ref="B4:I4"/>
    <mergeCell ref="B6:E6"/>
    <mergeCell ref="B7:E7"/>
    <mergeCell ref="B8:D8"/>
    <mergeCell ref="B165:D165"/>
    <mergeCell ref="B154:D154"/>
    <mergeCell ref="B160:D160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3:E93"/>
    <mergeCell ref="B94:E94"/>
    <mergeCell ref="B138:E138"/>
    <mergeCell ref="B139:E139"/>
    <mergeCell ref="B50:E50"/>
    <mergeCell ref="B51:E51"/>
  </mergeCells>
  <pageMargins left="0.7" right="0.7" top="0.75" bottom="0.75" header="0.3" footer="0.3"/>
  <pageSetup paperSize="9" scale="60" fitToHeight="0" orientation="portrait" r:id="rId1"/>
  <rowBreaks count="3" manualBreakCount="3">
    <brk id="49" max="16383" man="1"/>
    <brk id="92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izvorima finan</vt:lpstr>
      <vt:lpstr>Rashodi prema funkcijskoj k 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</cp:lastModifiedBy>
  <cp:lastPrinted>2024-07-19T09:37:54Z</cp:lastPrinted>
  <dcterms:created xsi:type="dcterms:W3CDTF">2022-08-12T12:51:27Z</dcterms:created>
  <dcterms:modified xsi:type="dcterms:W3CDTF">2024-07-31T06:55:27Z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