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UV PLAN 2024 I  IZMJENE\"/>
    </mc:Choice>
  </mc:AlternateContent>
  <xr:revisionPtr revIDLastSave="0" documentId="13_ncr:1_{8A755877-32B7-4DF1-8C7F-C5854116CFE4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ezultat poslovanja" sheetId="1" r:id="rId1"/>
    <sheet name="Plan prihodi i primitci " sheetId="6" r:id="rId2"/>
    <sheet name="Prihodi" sheetId="2" r:id="rId3"/>
    <sheet name="Rashodi" sheetId="3" r:id="rId4"/>
    <sheet name="Račun financiranja" sheetId="4" r:id="rId5"/>
    <sheet name="Sheet1" sheetId="5" state="hidden" r:id="rId6"/>
  </sheets>
  <definedNames>
    <definedName name="_xlnm.Print_Area" localSheetId="2">Prihodi!$A$1:$O$64</definedName>
  </definedNames>
  <calcPr calcId="191029"/>
</workbook>
</file>

<file path=xl/calcChain.xml><?xml version="1.0" encoding="utf-8"?>
<calcChain xmlns="http://schemas.openxmlformats.org/spreadsheetml/2006/main">
  <c r="O86" i="3" l="1"/>
  <c r="K86" i="3"/>
  <c r="K32" i="3"/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4" i="4"/>
  <c r="C4" i="6"/>
  <c r="C5" i="6"/>
  <c r="C6" i="6"/>
  <c r="C8" i="6"/>
  <c r="C9" i="6"/>
  <c r="C10" i="6"/>
  <c r="C11" i="6"/>
  <c r="C12" i="6"/>
  <c r="C13" i="6"/>
  <c r="H15" i="1"/>
  <c r="H7" i="1"/>
  <c r="O25" i="3"/>
  <c r="P25" i="3"/>
  <c r="P38" i="3"/>
  <c r="O39" i="3"/>
  <c r="P39" i="3"/>
  <c r="O37" i="3"/>
  <c r="P37" i="3"/>
  <c r="O8" i="3"/>
  <c r="P8" i="3"/>
  <c r="P12" i="3"/>
  <c r="O29" i="3"/>
  <c r="P29" i="3"/>
  <c r="O27" i="3"/>
  <c r="O24" i="3"/>
  <c r="O26" i="3"/>
  <c r="P15" i="3"/>
  <c r="O15" i="3"/>
  <c r="O12" i="3"/>
  <c r="P9" i="3"/>
  <c r="O9" i="3"/>
  <c r="O90" i="3"/>
  <c r="P88" i="3"/>
  <c r="P31" i="3"/>
  <c r="P60" i="3"/>
  <c r="K39" i="3" l="1"/>
  <c r="K37" i="3"/>
  <c r="K33" i="3"/>
  <c r="K38" i="3"/>
  <c r="P82" i="3"/>
  <c r="S37" i="3"/>
  <c r="R88" i="3"/>
  <c r="K19" i="2"/>
  <c r="K18" i="2"/>
  <c r="K100" i="3"/>
  <c r="H100" i="3"/>
  <c r="J9" i="2"/>
  <c r="K13" i="2" l="1"/>
  <c r="K94" i="3" l="1"/>
  <c r="H94" i="3"/>
  <c r="K11" i="3"/>
  <c r="K85" i="3" l="1"/>
  <c r="J60" i="3"/>
  <c r="M92" i="3" l="1"/>
  <c r="M98" i="3"/>
  <c r="M99" i="3"/>
  <c r="J42" i="2"/>
  <c r="K53" i="2"/>
  <c r="H53" i="2"/>
  <c r="F53" i="2"/>
  <c r="J64" i="2"/>
  <c r="J63" i="2"/>
  <c r="J62" i="2"/>
  <c r="J61" i="2"/>
  <c r="J60" i="2"/>
  <c r="J59" i="2"/>
  <c r="J58" i="2"/>
  <c r="J57" i="2"/>
  <c r="J56" i="2"/>
  <c r="J55" i="2"/>
  <c r="J54" i="2"/>
  <c r="J51" i="2"/>
  <c r="J49" i="2"/>
  <c r="J48" i="2"/>
  <c r="J46" i="2"/>
  <c r="J45" i="2"/>
  <c r="J44" i="2"/>
  <c r="J43" i="2"/>
  <c r="J40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1" i="2"/>
  <c r="J20" i="2"/>
  <c r="J19" i="2"/>
  <c r="J18" i="2"/>
  <c r="J16" i="2"/>
  <c r="J15" i="2"/>
  <c r="J14" i="2"/>
  <c r="J13" i="2"/>
  <c r="J11" i="2"/>
  <c r="J10" i="2"/>
  <c r="J109" i="3"/>
  <c r="J107" i="3"/>
  <c r="J105" i="3"/>
  <c r="J102" i="3"/>
  <c r="J101" i="3"/>
  <c r="J100" i="3"/>
  <c r="J99" i="3"/>
  <c r="J98" i="3"/>
  <c r="J96" i="3"/>
  <c r="J94" i="3" s="1"/>
  <c r="J95" i="3"/>
  <c r="J93" i="3"/>
  <c r="J92" i="3"/>
  <c r="J89" i="3"/>
  <c r="J87" i="3"/>
  <c r="J86" i="3"/>
  <c r="J85" i="3"/>
  <c r="J84" i="3"/>
  <c r="J82" i="3"/>
  <c r="J81" i="3"/>
  <c r="J80" i="3"/>
  <c r="J77" i="3"/>
  <c r="J76" i="3"/>
  <c r="J75" i="3"/>
  <c r="J72" i="3"/>
  <c r="J71" i="3"/>
  <c r="J70" i="3"/>
  <c r="J69" i="3"/>
  <c r="J67" i="3"/>
  <c r="J66" i="3"/>
  <c r="J63" i="3"/>
  <c r="J57" i="3"/>
  <c r="J56" i="3"/>
  <c r="J55" i="3"/>
  <c r="J53" i="3"/>
  <c r="J52" i="3"/>
  <c r="J48" i="3"/>
  <c r="J46" i="3"/>
  <c r="J45" i="3"/>
  <c r="J44" i="3"/>
  <c r="J43" i="3"/>
  <c r="J41" i="3"/>
  <c r="J38" i="3"/>
  <c r="J37" i="3"/>
  <c r="J36" i="3"/>
  <c r="J35" i="3"/>
  <c r="J33" i="3"/>
  <c r="J31" i="3"/>
  <c r="J29" i="3"/>
  <c r="J28" i="3"/>
  <c r="J24" i="3"/>
  <c r="J22" i="3"/>
  <c r="J21" i="3"/>
  <c r="J20" i="3"/>
  <c r="J19" i="3"/>
  <c r="J16" i="3"/>
  <c r="J15" i="3"/>
  <c r="J14" i="3"/>
  <c r="J12" i="3"/>
  <c r="J10" i="3"/>
  <c r="J9" i="3"/>
  <c r="H108" i="3"/>
  <c r="H106" i="3"/>
  <c r="H104" i="3"/>
  <c r="H97" i="3"/>
  <c r="H91" i="3"/>
  <c r="H90" i="3"/>
  <c r="H88" i="3"/>
  <c r="H83" i="3" s="1"/>
  <c r="H79" i="3"/>
  <c r="H68" i="3"/>
  <c r="H65" i="3"/>
  <c r="H64" i="3" s="1"/>
  <c r="H62" i="3"/>
  <c r="H61" i="3" s="1"/>
  <c r="H59" i="3"/>
  <c r="H58" i="3"/>
  <c r="H54" i="3"/>
  <c r="H51" i="3"/>
  <c r="H49" i="3"/>
  <c r="H47" i="3"/>
  <c r="H40" i="3"/>
  <c r="H39" i="3"/>
  <c r="H34" i="3"/>
  <c r="H32" i="3"/>
  <c r="H27" i="3"/>
  <c r="H26" i="3"/>
  <c r="H25" i="3"/>
  <c r="H18" i="3"/>
  <c r="H13" i="3"/>
  <c r="H11" i="3"/>
  <c r="H8" i="3"/>
  <c r="H7" i="3" s="1"/>
  <c r="J53" i="2" l="1"/>
  <c r="H103" i="3"/>
  <c r="H23" i="3"/>
  <c r="H42" i="3"/>
  <c r="H30" i="3"/>
  <c r="H78" i="3"/>
  <c r="H74" i="3" s="1"/>
  <c r="I87" i="3" s="1"/>
  <c r="H6" i="3"/>
  <c r="H50" i="3"/>
  <c r="H61" i="2"/>
  <c r="H59" i="2"/>
  <c r="H55" i="2"/>
  <c r="H52" i="2" s="1"/>
  <c r="H50" i="2"/>
  <c r="H47" i="2"/>
  <c r="H46" i="2"/>
  <c r="H41" i="2"/>
  <c r="H38" i="2" s="1"/>
  <c r="H34" i="2"/>
  <c r="H32" i="2" s="1"/>
  <c r="H23" i="2"/>
  <c r="H22" i="2" s="1"/>
  <c r="H18" i="2"/>
  <c r="H17" i="2"/>
  <c r="H13" i="2"/>
  <c r="H12" i="2" s="1"/>
  <c r="H8" i="2"/>
  <c r="B9" i="6"/>
  <c r="B7" i="6"/>
  <c r="C7" i="6" s="1"/>
  <c r="C14" i="6" s="1"/>
  <c r="O88" i="3"/>
  <c r="H17" i="3" l="1"/>
  <c r="H5" i="3" s="1"/>
  <c r="H58" i="2"/>
  <c r="H57" i="2" s="1"/>
  <c r="H39" i="2"/>
  <c r="H7" i="2"/>
  <c r="H6" i="2" s="1"/>
  <c r="I39" i="2" s="1"/>
  <c r="J49" i="3"/>
  <c r="J26" i="3"/>
  <c r="J34" i="3"/>
  <c r="J39" i="3"/>
  <c r="J47" i="3"/>
  <c r="J32" i="3"/>
  <c r="J25" i="3"/>
  <c r="J90" i="3" l="1"/>
  <c r="J88" i="3"/>
  <c r="J8" i="3"/>
  <c r="S32" i="3"/>
  <c r="J27" i="3"/>
  <c r="S88" i="3"/>
  <c r="K59" i="3" l="1"/>
  <c r="J59" i="3" s="1"/>
  <c r="K59" i="2" l="1"/>
  <c r="K13" i="3" l="1"/>
  <c r="J13" i="3" s="1"/>
  <c r="K61" i="2"/>
  <c r="K58" i="2" s="1"/>
  <c r="M87" i="3" l="1"/>
  <c r="V87" i="3"/>
  <c r="M48" i="3"/>
  <c r="K17" i="2" l="1"/>
  <c r="J17" i="2" s="1"/>
  <c r="P11" i="3" l="1"/>
  <c r="N19" i="2" l="1"/>
  <c r="U91" i="3" l="1"/>
  <c r="N11" i="2" l="1"/>
  <c r="N13" i="2"/>
  <c r="N14" i="2"/>
  <c r="N15" i="2"/>
  <c r="N16" i="2"/>
  <c r="N18" i="2"/>
  <c r="N24" i="2"/>
  <c r="N26" i="2"/>
  <c r="N27" i="2"/>
  <c r="N28" i="2"/>
  <c r="N29" i="2"/>
  <c r="N30" i="2"/>
  <c r="N31" i="2"/>
  <c r="N33" i="2"/>
  <c r="N35" i="2"/>
  <c r="N36" i="2"/>
  <c r="N37" i="2"/>
  <c r="N40" i="2"/>
  <c r="N42" i="2"/>
  <c r="N43" i="2"/>
  <c r="N44" i="2"/>
  <c r="N45" i="2"/>
  <c r="N46" i="2"/>
  <c r="N53" i="2"/>
  <c r="N56" i="2"/>
  <c r="N63" i="2"/>
  <c r="N64" i="2"/>
  <c r="R91" i="3" l="1"/>
  <c r="T108" i="3"/>
  <c r="T106" i="3"/>
  <c r="T104" i="3"/>
  <c r="T100" i="3"/>
  <c r="T97" i="3"/>
  <c r="T94" i="3"/>
  <c r="T91" i="3"/>
  <c r="T83" i="3"/>
  <c r="T79" i="3"/>
  <c r="T68" i="3"/>
  <c r="T65" i="3"/>
  <c r="T62" i="3"/>
  <c r="T61" i="3" s="1"/>
  <c r="T59" i="3"/>
  <c r="T58" i="3" s="1"/>
  <c r="T54" i="3"/>
  <c r="T51" i="3"/>
  <c r="T42" i="3"/>
  <c r="T40" i="3"/>
  <c r="T30" i="3"/>
  <c r="T23" i="3"/>
  <c r="T18" i="3"/>
  <c r="T13" i="3"/>
  <c r="T11" i="3"/>
  <c r="T7" i="3"/>
  <c r="T64" i="3" l="1"/>
  <c r="T103" i="3"/>
  <c r="T50" i="3"/>
  <c r="T6" i="3"/>
  <c r="T78" i="3"/>
  <c r="T17" i="3"/>
  <c r="M22" i="3"/>
  <c r="T74" i="3" l="1"/>
  <c r="T5" i="3"/>
  <c r="N61" i="2" l="1"/>
  <c r="E12" i="6"/>
  <c r="E6" i="6"/>
  <c r="E7" i="6"/>
  <c r="E8" i="6"/>
  <c r="E9" i="6"/>
  <c r="D14" i="6" l="1"/>
  <c r="B14" i="6"/>
  <c r="E14" i="6" l="1"/>
  <c r="K8" i="2"/>
  <c r="J8" i="2" s="1"/>
  <c r="V32" i="3" l="1"/>
  <c r="V84" i="3"/>
  <c r="V90" i="3"/>
  <c r="V45" i="3"/>
  <c r="V39" i="3"/>
  <c r="V29" i="3"/>
  <c r="V20" i="3"/>
  <c r="V14" i="3"/>
  <c r="V21" i="3"/>
  <c r="V22" i="3"/>
  <c r="V25" i="3"/>
  <c r="V27" i="3"/>
  <c r="V28" i="3"/>
  <c r="V33" i="3"/>
  <c r="V35" i="3"/>
  <c r="V36" i="3"/>
  <c r="V41" i="3"/>
  <c r="V44" i="3"/>
  <c r="V46" i="3"/>
  <c r="V47" i="3"/>
  <c r="V48" i="3"/>
  <c r="V52" i="3"/>
  <c r="V53" i="3"/>
  <c r="V60" i="3"/>
  <c r="V66" i="3"/>
  <c r="V67" i="3"/>
  <c r="V69" i="3"/>
  <c r="V70" i="3"/>
  <c r="V71" i="3"/>
  <c r="V72" i="3"/>
  <c r="V73" i="3"/>
  <c r="V75" i="3"/>
  <c r="V76" i="3"/>
  <c r="V77" i="3"/>
  <c r="V80" i="3"/>
  <c r="V81" i="3"/>
  <c r="V82" i="3"/>
  <c r="V85" i="3"/>
  <c r="V86" i="3"/>
  <c r="V88" i="3"/>
  <c r="V89" i="3"/>
  <c r="V92" i="3"/>
  <c r="V93" i="3"/>
  <c r="V95" i="3"/>
  <c r="V96" i="3"/>
  <c r="V98" i="3"/>
  <c r="V99" i="3"/>
  <c r="V101" i="3"/>
  <c r="V102" i="3"/>
  <c r="V105" i="3"/>
  <c r="V107" i="3"/>
  <c r="V109" i="3"/>
  <c r="V110" i="3"/>
  <c r="V91" i="3" l="1"/>
  <c r="V37" i="3"/>
  <c r="V19" i="3" l="1"/>
  <c r="M18" i="2" l="1"/>
  <c r="M19" i="2"/>
  <c r="M20" i="2"/>
  <c r="M21" i="2"/>
  <c r="F61" i="2" l="1"/>
  <c r="K47" i="2" l="1"/>
  <c r="J47" i="2" s="1"/>
  <c r="K34" i="2"/>
  <c r="K32" i="2" s="1"/>
  <c r="K50" i="2"/>
  <c r="J50" i="2" s="1"/>
  <c r="F50" i="2"/>
  <c r="K12" i="2"/>
  <c r="J12" i="2" s="1"/>
  <c r="F12" i="2"/>
  <c r="K55" i="2"/>
  <c r="F55" i="2"/>
  <c r="F47" i="2"/>
  <c r="M48" i="2"/>
  <c r="F34" i="2"/>
  <c r="K23" i="2"/>
  <c r="J23" i="2" s="1"/>
  <c r="F23" i="2"/>
  <c r="F8" i="2"/>
  <c r="N55" i="2" l="1"/>
  <c r="N23" i="2"/>
  <c r="N12" i="2"/>
  <c r="N34" i="2"/>
  <c r="N32" i="2"/>
  <c r="V8" i="3"/>
  <c r="V31" i="3"/>
  <c r="V24" i="3"/>
  <c r="O16" i="3"/>
  <c r="V16" i="3" s="1"/>
  <c r="V15" i="3"/>
  <c r="V49" i="3"/>
  <c r="V38" i="3"/>
  <c r="V34" i="3"/>
  <c r="V12" i="3"/>
  <c r="V26" i="3" l="1"/>
  <c r="S79" i="3"/>
  <c r="F17" i="2" l="1"/>
  <c r="F7" i="2" s="1"/>
  <c r="K7" i="2" l="1"/>
  <c r="J7" i="2" s="1"/>
  <c r="N17" i="2"/>
  <c r="M60" i="3"/>
  <c r="G60" i="3"/>
  <c r="U59" i="3"/>
  <c r="U58" i="3" s="1"/>
  <c r="S59" i="3"/>
  <c r="S58" i="3" s="1"/>
  <c r="R59" i="3"/>
  <c r="R58" i="3" s="1"/>
  <c r="Q59" i="3"/>
  <c r="Q58" i="3" s="1"/>
  <c r="P59" i="3"/>
  <c r="O59" i="3"/>
  <c r="O58" i="3" s="1"/>
  <c r="N59" i="3"/>
  <c r="N58" i="3" s="1"/>
  <c r="F59" i="3"/>
  <c r="G59" i="3" s="1"/>
  <c r="F58" i="3" l="1"/>
  <c r="G58" i="3" s="1"/>
  <c r="N7" i="2"/>
  <c r="M59" i="3"/>
  <c r="P58" i="3"/>
  <c r="V59" i="3"/>
  <c r="K58" i="3"/>
  <c r="M58" i="3" l="1"/>
  <c r="J58" i="3"/>
  <c r="V58" i="3"/>
  <c r="M15" i="2" l="1"/>
  <c r="M17" i="2"/>
  <c r="K62" i="3"/>
  <c r="J62" i="3" s="1"/>
  <c r="K61" i="3" l="1"/>
  <c r="J61" i="3" s="1"/>
  <c r="F68" i="3"/>
  <c r="F65" i="3"/>
  <c r="F62" i="3"/>
  <c r="F61" i="3" s="1"/>
  <c r="F54" i="3"/>
  <c r="F51" i="3"/>
  <c r="F42" i="3"/>
  <c r="F40" i="3"/>
  <c r="F30" i="3"/>
  <c r="F23" i="3"/>
  <c r="F18" i="3"/>
  <c r="F13" i="3"/>
  <c r="F11" i="3"/>
  <c r="F7" i="3"/>
  <c r="F64" i="3" l="1"/>
  <c r="F50" i="3"/>
  <c r="F17" i="3"/>
  <c r="F6" i="3"/>
  <c r="I59" i="2" l="1"/>
  <c r="F5" i="3"/>
  <c r="K65" i="3"/>
  <c r="J65" i="3" s="1"/>
  <c r="M67" i="3"/>
  <c r="I64" i="2" l="1"/>
  <c r="I63" i="2"/>
  <c r="I57" i="2"/>
  <c r="I61" i="2"/>
  <c r="I58" i="2"/>
  <c r="I96" i="3"/>
  <c r="I95" i="3"/>
  <c r="I72" i="3"/>
  <c r="I94" i="3" l="1"/>
  <c r="I102" i="3"/>
  <c r="I47" i="2"/>
  <c r="I34" i="2"/>
  <c r="I22" i="2"/>
  <c r="I10" i="2"/>
  <c r="I21" i="2"/>
  <c r="I6" i="2"/>
  <c r="I45" i="2"/>
  <c r="I32" i="2"/>
  <c r="I20" i="2"/>
  <c r="I8" i="2"/>
  <c r="I44" i="2"/>
  <c r="I31" i="2"/>
  <c r="I19" i="2"/>
  <c r="I30" i="2"/>
  <c r="I55" i="2"/>
  <c r="I42" i="2"/>
  <c r="I29" i="2"/>
  <c r="I53" i="2"/>
  <c r="I41" i="2"/>
  <c r="I16" i="2"/>
  <c r="I28" i="2"/>
  <c r="I52" i="2"/>
  <c r="I40" i="2"/>
  <c r="I27" i="2"/>
  <c r="I15" i="2"/>
  <c r="I11" i="2"/>
  <c r="I43" i="2"/>
  <c r="I51" i="2"/>
  <c r="I38" i="2"/>
  <c r="I26" i="2"/>
  <c r="I14" i="2"/>
  <c r="I48" i="2"/>
  <c r="I23" i="2"/>
  <c r="I46" i="2"/>
  <c r="I9" i="2"/>
  <c r="I56" i="2"/>
  <c r="I50" i="2"/>
  <c r="I37" i="2"/>
  <c r="I25" i="2"/>
  <c r="I13" i="2"/>
  <c r="I35" i="2"/>
  <c r="I33" i="2"/>
  <c r="I18" i="2"/>
  <c r="I49" i="2"/>
  <c r="I36" i="2"/>
  <c r="I24" i="2"/>
  <c r="I12" i="2"/>
  <c r="I17" i="2"/>
  <c r="I7" i="2"/>
  <c r="I52" i="3"/>
  <c r="I48" i="3"/>
  <c r="I60" i="3"/>
  <c r="I51" i="3"/>
  <c r="I59" i="3"/>
  <c r="I58" i="3"/>
  <c r="I67" i="3"/>
  <c r="I103" i="3"/>
  <c r="I78" i="3" l="1"/>
  <c r="I68" i="3"/>
  <c r="I61" i="3"/>
  <c r="I46" i="3"/>
  <c r="I41" i="3"/>
  <c r="I38" i="3"/>
  <c r="I32" i="3"/>
  <c r="I27" i="3"/>
  <c r="I23" i="3"/>
  <c r="I18" i="3"/>
  <c r="I16" i="3"/>
  <c r="I8" i="3"/>
  <c r="I71" i="3"/>
  <c r="I69" i="3"/>
  <c r="I63" i="3"/>
  <c r="I56" i="3"/>
  <c r="I53" i="3"/>
  <c r="I49" i="3"/>
  <c r="I47" i="3"/>
  <c r="I45" i="3"/>
  <c r="I43" i="3"/>
  <c r="I39" i="3"/>
  <c r="I37" i="3"/>
  <c r="I35" i="3"/>
  <c r="I33" i="3"/>
  <c r="I31" i="3"/>
  <c r="I28" i="3"/>
  <c r="I26" i="3"/>
  <c r="I24" i="3"/>
  <c r="I21" i="3"/>
  <c r="I19" i="3"/>
  <c r="I15" i="3"/>
  <c r="I12" i="3"/>
  <c r="I9" i="3"/>
  <c r="I5" i="3"/>
  <c r="I70" i="3"/>
  <c r="I66" i="3"/>
  <c r="I62" i="3"/>
  <c r="I57" i="3"/>
  <c r="I55" i="3"/>
  <c r="I44" i="3"/>
  <c r="I42" i="3"/>
  <c r="I36" i="3"/>
  <c r="I34" i="3"/>
  <c r="I30" i="3"/>
  <c r="I29" i="3"/>
  <c r="I25" i="3"/>
  <c r="I22" i="3"/>
  <c r="I20" i="3"/>
  <c r="I14" i="3"/>
  <c r="I11" i="3"/>
  <c r="I10" i="3"/>
  <c r="I13" i="3"/>
  <c r="I50" i="3"/>
  <c r="I7" i="3"/>
  <c r="I40" i="3"/>
  <c r="I65" i="3"/>
  <c r="I54" i="3"/>
  <c r="I6" i="3"/>
  <c r="I110" i="3"/>
  <c r="I108" i="3"/>
  <c r="I107" i="3"/>
  <c r="I104" i="3"/>
  <c r="I93" i="3"/>
  <c r="I90" i="3"/>
  <c r="I85" i="3"/>
  <c r="I82" i="3"/>
  <c r="I74" i="3"/>
  <c r="I109" i="3"/>
  <c r="I105" i="3"/>
  <c r="I101" i="3"/>
  <c r="I98" i="3"/>
  <c r="I92" i="3"/>
  <c r="I89" i="3"/>
  <c r="I86" i="3"/>
  <c r="I84" i="3"/>
  <c r="I81" i="3"/>
  <c r="I75" i="3"/>
  <c r="I100" i="3"/>
  <c r="I99" i="3"/>
  <c r="I97" i="3"/>
  <c r="I91" i="3"/>
  <c r="I88" i="3"/>
  <c r="I83" i="3"/>
  <c r="I80" i="3"/>
  <c r="I79" i="3"/>
  <c r="I106" i="3"/>
  <c r="I17" i="3"/>
  <c r="I64" i="3"/>
  <c r="S108" i="3" l="1"/>
  <c r="S106" i="3"/>
  <c r="S104" i="3"/>
  <c r="S100" i="3"/>
  <c r="S97" i="3"/>
  <c r="S94" i="3"/>
  <c r="S91" i="3"/>
  <c r="S83" i="3"/>
  <c r="S68" i="3"/>
  <c r="S65" i="3"/>
  <c r="S62" i="3"/>
  <c r="S61" i="3" s="1"/>
  <c r="S54" i="3"/>
  <c r="S51" i="3"/>
  <c r="S42" i="3"/>
  <c r="S40" i="3"/>
  <c r="S30" i="3"/>
  <c r="S23" i="3"/>
  <c r="S18" i="3"/>
  <c r="S13" i="3"/>
  <c r="S11" i="3"/>
  <c r="S7" i="3"/>
  <c r="S78" i="3" l="1"/>
  <c r="S103" i="3"/>
  <c r="S64" i="3"/>
  <c r="S50" i="3"/>
  <c r="S17" i="3"/>
  <c r="S6" i="3"/>
  <c r="O104" i="3"/>
  <c r="P104" i="3"/>
  <c r="Q104" i="3"/>
  <c r="R104" i="3"/>
  <c r="U104" i="3"/>
  <c r="S74" i="3" l="1"/>
  <c r="S5" i="3"/>
  <c r="N58" i="2" l="1"/>
  <c r="I32" i="1"/>
  <c r="O63" i="3"/>
  <c r="V55" i="3"/>
  <c r="V57" i="3"/>
  <c r="V56" i="3"/>
  <c r="V63" i="3" l="1"/>
  <c r="V9" i="3"/>
  <c r="K30" i="3"/>
  <c r="J30" i="3" s="1"/>
  <c r="Q42" i="3" l="1"/>
  <c r="R42" i="3"/>
  <c r="U42" i="3"/>
  <c r="N42" i="3"/>
  <c r="O42" i="3"/>
  <c r="V43" i="3"/>
  <c r="O10" i="3"/>
  <c r="V10" i="3" s="1"/>
  <c r="P42" i="3" l="1"/>
  <c r="N104" i="3"/>
  <c r="O100" i="3"/>
  <c r="P100" i="3"/>
  <c r="Q100" i="3"/>
  <c r="R100" i="3"/>
  <c r="U100" i="3"/>
  <c r="N100" i="3"/>
  <c r="O97" i="3"/>
  <c r="P97" i="3"/>
  <c r="Q97" i="3"/>
  <c r="R97" i="3"/>
  <c r="U97" i="3"/>
  <c r="N97" i="3"/>
  <c r="O94" i="3"/>
  <c r="P94" i="3"/>
  <c r="Q94" i="3"/>
  <c r="R94" i="3"/>
  <c r="U94" i="3"/>
  <c r="O91" i="3"/>
  <c r="P91" i="3"/>
  <c r="Q91" i="3"/>
  <c r="O83" i="3"/>
  <c r="P83" i="3"/>
  <c r="Q83" i="3"/>
  <c r="R83" i="3"/>
  <c r="U83" i="3"/>
  <c r="O79" i="3"/>
  <c r="P79" i="3"/>
  <c r="Q79" i="3"/>
  <c r="R79" i="3"/>
  <c r="U79" i="3"/>
  <c r="P68" i="3"/>
  <c r="P65" i="3" s="1"/>
  <c r="P64" i="3" s="1"/>
  <c r="Q68" i="3"/>
  <c r="Q65" i="3" s="1"/>
  <c r="Q64" i="3" s="1"/>
  <c r="R68" i="3"/>
  <c r="U68" i="3"/>
  <c r="U65" i="3" s="1"/>
  <c r="U64" i="3" s="1"/>
  <c r="N68" i="3"/>
  <c r="N65" i="3" s="1"/>
  <c r="O54" i="3"/>
  <c r="P54" i="3"/>
  <c r="Q54" i="3"/>
  <c r="R54" i="3"/>
  <c r="U54" i="3"/>
  <c r="N54" i="3"/>
  <c r="O7" i="3"/>
  <c r="P7" i="3"/>
  <c r="Q7" i="3"/>
  <c r="R7" i="3"/>
  <c r="U7" i="3"/>
  <c r="U108" i="3"/>
  <c r="R108" i="3"/>
  <c r="Q108" i="3"/>
  <c r="P108" i="3"/>
  <c r="O108" i="3"/>
  <c r="N108" i="3"/>
  <c r="U106" i="3"/>
  <c r="R106" i="3"/>
  <c r="Q106" i="3"/>
  <c r="P106" i="3"/>
  <c r="O106" i="3"/>
  <c r="N106" i="3"/>
  <c r="N94" i="3"/>
  <c r="N91" i="3"/>
  <c r="N83" i="3"/>
  <c r="N79" i="3"/>
  <c r="R65" i="3"/>
  <c r="O65" i="3"/>
  <c r="U62" i="3"/>
  <c r="U61" i="3" s="1"/>
  <c r="Q62" i="3"/>
  <c r="Q61" i="3" s="1"/>
  <c r="P62" i="3"/>
  <c r="P61" i="3" s="1"/>
  <c r="O62" i="3"/>
  <c r="O61" i="3" s="1"/>
  <c r="N62" i="3"/>
  <c r="R62" i="3"/>
  <c r="R61" i="3" s="1"/>
  <c r="U51" i="3"/>
  <c r="R51" i="3"/>
  <c r="Q51" i="3"/>
  <c r="P51" i="3"/>
  <c r="O51" i="3"/>
  <c r="N51" i="3"/>
  <c r="U40" i="3"/>
  <c r="R40" i="3"/>
  <c r="Q40" i="3"/>
  <c r="P40" i="3"/>
  <c r="O40" i="3"/>
  <c r="N40" i="3"/>
  <c r="U30" i="3"/>
  <c r="R30" i="3"/>
  <c r="Q30" i="3"/>
  <c r="P30" i="3"/>
  <c r="O30" i="3"/>
  <c r="N30" i="3"/>
  <c r="U23" i="3"/>
  <c r="R23" i="3"/>
  <c r="Q23" i="3"/>
  <c r="P23" i="3"/>
  <c r="O23" i="3"/>
  <c r="N23" i="3"/>
  <c r="U18" i="3"/>
  <c r="R18" i="3"/>
  <c r="Q18" i="3"/>
  <c r="P18" i="3"/>
  <c r="O18" i="3"/>
  <c r="N18" i="3"/>
  <c r="U13" i="3"/>
  <c r="R13" i="3"/>
  <c r="Q13" i="3"/>
  <c r="P13" i="3"/>
  <c r="O13" i="3"/>
  <c r="N13" i="3"/>
  <c r="U11" i="3"/>
  <c r="R11" i="3"/>
  <c r="Q11" i="3"/>
  <c r="O11" i="3"/>
  <c r="N11" i="3"/>
  <c r="N7" i="3"/>
  <c r="R50" i="3" l="1"/>
  <c r="Q50" i="3"/>
  <c r="U50" i="3"/>
  <c r="R78" i="3"/>
  <c r="R64" i="3"/>
  <c r="Q78" i="3"/>
  <c r="P50" i="3"/>
  <c r="U78" i="3"/>
  <c r="N61" i="3"/>
  <c r="V61" i="3" s="1"/>
  <c r="V62" i="3"/>
  <c r="N64" i="3"/>
  <c r="V65" i="3"/>
  <c r="O78" i="3"/>
  <c r="P78" i="3"/>
  <c r="V30" i="3"/>
  <c r="O64" i="3"/>
  <c r="O50" i="3"/>
  <c r="U103" i="3"/>
  <c r="N103" i="3"/>
  <c r="N78" i="3" s="1"/>
  <c r="R103" i="3"/>
  <c r="O103" i="3"/>
  <c r="Q103" i="3"/>
  <c r="P103" i="3"/>
  <c r="N50" i="3"/>
  <c r="N6" i="3"/>
  <c r="P6" i="3"/>
  <c r="Q6" i="3"/>
  <c r="U6" i="3"/>
  <c r="P17" i="3"/>
  <c r="Q17" i="3"/>
  <c r="U17" i="3"/>
  <c r="O6" i="3"/>
  <c r="R6" i="3"/>
  <c r="O17" i="3"/>
  <c r="R17" i="3"/>
  <c r="N17" i="3"/>
  <c r="Q74" i="3" l="1"/>
  <c r="R74" i="3"/>
  <c r="O74" i="3"/>
  <c r="U74" i="3"/>
  <c r="N5" i="3"/>
  <c r="R5" i="3"/>
  <c r="Q5" i="3"/>
  <c r="P74" i="3"/>
  <c r="O5" i="3"/>
  <c r="U5" i="3"/>
  <c r="P5" i="3"/>
  <c r="N74" i="3"/>
  <c r="K104" i="3"/>
  <c r="V104" i="3" l="1"/>
  <c r="J104" i="3"/>
  <c r="I31" i="1"/>
  <c r="I34" i="1"/>
  <c r="F108" i="3"/>
  <c r="F106" i="3"/>
  <c r="F104" i="3"/>
  <c r="F100" i="3"/>
  <c r="F97" i="3"/>
  <c r="F94" i="3"/>
  <c r="F91" i="3"/>
  <c r="F83" i="3"/>
  <c r="F79" i="3"/>
  <c r="F58" i="2"/>
  <c r="F57" i="2" s="1"/>
  <c r="F41" i="2"/>
  <c r="F38" i="2" s="1"/>
  <c r="F32" i="2"/>
  <c r="F22" i="2"/>
  <c r="F103" i="3" l="1"/>
  <c r="F78" i="3"/>
  <c r="V100" i="3"/>
  <c r="V94" i="3" l="1"/>
  <c r="F74" i="3"/>
  <c r="G67" i="3"/>
  <c r="G101" i="3" l="1"/>
  <c r="G89" i="3"/>
  <c r="G76" i="3"/>
  <c r="G100" i="3"/>
  <c r="G88" i="3"/>
  <c r="G77" i="3"/>
  <c r="G99" i="3"/>
  <c r="G87" i="3"/>
  <c r="G98" i="3"/>
  <c r="G86" i="3"/>
  <c r="G109" i="3"/>
  <c r="G85" i="3"/>
  <c r="G83" i="3"/>
  <c r="G108" i="3"/>
  <c r="G96" i="3"/>
  <c r="G84" i="3"/>
  <c r="G95" i="3"/>
  <c r="G107" i="3"/>
  <c r="G106" i="3"/>
  <c r="G94" i="3"/>
  <c r="G82" i="3"/>
  <c r="G105" i="3"/>
  <c r="G93" i="3"/>
  <c r="G81" i="3"/>
  <c r="G104" i="3"/>
  <c r="G92" i="3"/>
  <c r="G80" i="3"/>
  <c r="G103" i="3"/>
  <c r="G91" i="3"/>
  <c r="G79" i="3"/>
  <c r="G102" i="3"/>
  <c r="G90" i="3"/>
  <c r="G97" i="3"/>
  <c r="G78" i="3"/>
  <c r="K68" i="3"/>
  <c r="M72" i="3"/>
  <c r="V68" i="3" l="1"/>
  <c r="J68" i="3"/>
  <c r="M63" i="3"/>
  <c r="M61" i="3" l="1"/>
  <c r="M62" i="3"/>
  <c r="K40" i="3" l="1"/>
  <c r="V40" i="3" l="1"/>
  <c r="J40" i="3"/>
  <c r="K42" i="3"/>
  <c r="K64" i="3"/>
  <c r="V64" i="3" l="1"/>
  <c r="J64" i="3"/>
  <c r="V42" i="3"/>
  <c r="J42" i="3"/>
  <c r="G52" i="3"/>
  <c r="M64" i="2"/>
  <c r="M61" i="2"/>
  <c r="M59" i="2" s="1"/>
  <c r="M55" i="2"/>
  <c r="M51" i="2"/>
  <c r="M47" i="2"/>
  <c r="M46" i="2"/>
  <c r="M45" i="2"/>
  <c r="M44" i="2"/>
  <c r="M43" i="2"/>
  <c r="M42" i="2"/>
  <c r="M40" i="2"/>
  <c r="M34" i="2"/>
  <c r="M33" i="2"/>
  <c r="M31" i="2"/>
  <c r="M30" i="2"/>
  <c r="M29" i="2"/>
  <c r="M28" i="2"/>
  <c r="M27" i="2"/>
  <c r="M26" i="2"/>
  <c r="M25" i="2"/>
  <c r="M24" i="2"/>
  <c r="M23" i="2"/>
  <c r="M12" i="2"/>
  <c r="M11" i="2"/>
  <c r="M8" i="2"/>
  <c r="G31" i="2"/>
  <c r="G30" i="2"/>
  <c r="G29" i="2"/>
  <c r="G27" i="2"/>
  <c r="G26" i="2"/>
  <c r="G25" i="2"/>
  <c r="G24" i="2"/>
  <c r="F7" i="1" l="1"/>
  <c r="G51" i="3"/>
  <c r="K97" i="3"/>
  <c r="K91" i="3"/>
  <c r="K83" i="3"/>
  <c r="J83" i="3" s="1"/>
  <c r="K79" i="3"/>
  <c r="J97" i="3" l="1"/>
  <c r="M97" i="3"/>
  <c r="J91" i="3"/>
  <c r="M91" i="3"/>
  <c r="V79" i="3"/>
  <c r="J79" i="3"/>
  <c r="V97" i="3"/>
  <c r="K78" i="3"/>
  <c r="V83" i="3"/>
  <c r="G48" i="3"/>
  <c r="G72" i="3"/>
  <c r="F8" i="1"/>
  <c r="F9" i="1"/>
  <c r="V78" i="3" l="1"/>
  <c r="J78" i="3"/>
  <c r="G61" i="3"/>
  <c r="G62" i="3"/>
  <c r="G63" i="3"/>
  <c r="G6" i="3"/>
  <c r="G110" i="3"/>
  <c r="G74" i="3"/>
  <c r="G75" i="3"/>
  <c r="G70" i="3"/>
  <c r="G68" i="3"/>
  <c r="G65" i="3"/>
  <c r="G57" i="3"/>
  <c r="G55" i="3"/>
  <c r="G50" i="3"/>
  <c r="G47" i="3"/>
  <c r="G45" i="3"/>
  <c r="G43" i="3"/>
  <c r="G41" i="3"/>
  <c r="G39" i="3"/>
  <c r="G37" i="3"/>
  <c r="G35" i="3"/>
  <c r="G33" i="3"/>
  <c r="G31" i="3"/>
  <c r="G29" i="3"/>
  <c r="G27" i="3"/>
  <c r="G25" i="3"/>
  <c r="G23" i="3"/>
  <c r="G21" i="3"/>
  <c r="G19" i="3"/>
  <c r="G17" i="3"/>
  <c r="G15" i="3"/>
  <c r="G13" i="3"/>
  <c r="G11" i="3"/>
  <c r="G9" i="3"/>
  <c r="G5" i="3"/>
  <c r="G71" i="3"/>
  <c r="G69" i="3"/>
  <c r="G66" i="3"/>
  <c r="G64" i="3"/>
  <c r="G56" i="3"/>
  <c r="G54" i="3"/>
  <c r="G53" i="3"/>
  <c r="G49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G8" i="3"/>
  <c r="G7" i="3"/>
  <c r="K41" i="2" l="1"/>
  <c r="K39" i="2" l="1"/>
  <c r="J39" i="2" s="1"/>
  <c r="J41" i="2"/>
  <c r="N39" i="2"/>
  <c r="N41" i="2"/>
  <c r="M41" i="2"/>
  <c r="K108" i="3"/>
  <c r="J108" i="3" s="1"/>
  <c r="K106" i="3"/>
  <c r="V106" i="3" l="1"/>
  <c r="J106" i="3"/>
  <c r="V108" i="3"/>
  <c r="G9" i="1"/>
  <c r="K103" i="3"/>
  <c r="K54" i="3"/>
  <c r="J54" i="3" s="1"/>
  <c r="K51" i="3"/>
  <c r="K23" i="3"/>
  <c r="J23" i="3" s="1"/>
  <c r="K18" i="3"/>
  <c r="J18" i="3" s="1"/>
  <c r="K7" i="3"/>
  <c r="M7" i="2"/>
  <c r="G7" i="1"/>
  <c r="K52" i="2"/>
  <c r="M50" i="2"/>
  <c r="K38" i="2"/>
  <c r="M32" i="2"/>
  <c r="K22" i="2"/>
  <c r="N38" i="2" l="1"/>
  <c r="J38" i="2"/>
  <c r="I30" i="1"/>
  <c r="J52" i="2"/>
  <c r="I29" i="1"/>
  <c r="J22" i="2"/>
  <c r="V51" i="3"/>
  <c r="J51" i="3"/>
  <c r="V103" i="3"/>
  <c r="J103" i="3"/>
  <c r="V7" i="3"/>
  <c r="J7" i="3"/>
  <c r="N22" i="2"/>
  <c r="N52" i="2"/>
  <c r="M38" i="2"/>
  <c r="V18" i="3"/>
  <c r="V13" i="3"/>
  <c r="V54" i="3"/>
  <c r="V23" i="3"/>
  <c r="K57" i="2"/>
  <c r="L59" i="2" s="1"/>
  <c r="M58" i="2"/>
  <c r="K74" i="3"/>
  <c r="M22" i="2"/>
  <c r="K50" i="3"/>
  <c r="J50" i="3" s="1"/>
  <c r="K6" i="2"/>
  <c r="J6" i="2" s="1"/>
  <c r="K17" i="3"/>
  <c r="J74" i="3" l="1"/>
  <c r="L76" i="3"/>
  <c r="L77" i="3"/>
  <c r="L87" i="3"/>
  <c r="V17" i="3"/>
  <c r="J17" i="3"/>
  <c r="L42" i="2"/>
  <c r="L39" i="2"/>
  <c r="L64" i="2"/>
  <c r="L63" i="2"/>
  <c r="L57" i="2"/>
  <c r="L61" i="2"/>
  <c r="N57" i="2"/>
  <c r="L58" i="2"/>
  <c r="L50" i="2"/>
  <c r="L37" i="2"/>
  <c r="L25" i="2"/>
  <c r="L13" i="2"/>
  <c r="L24" i="2"/>
  <c r="L9" i="2"/>
  <c r="L48" i="2"/>
  <c r="L35" i="2"/>
  <c r="L23" i="2"/>
  <c r="L11" i="2"/>
  <c r="L47" i="2"/>
  <c r="L34" i="2"/>
  <c r="L22" i="2"/>
  <c r="L10" i="2"/>
  <c r="L45" i="2"/>
  <c r="L32" i="2"/>
  <c r="L20" i="2"/>
  <c r="L8" i="2"/>
  <c r="L44" i="2"/>
  <c r="L31" i="2"/>
  <c r="L19" i="2"/>
  <c r="L21" i="2"/>
  <c r="L56" i="2"/>
  <c r="L43" i="2"/>
  <c r="L30" i="2"/>
  <c r="L18" i="2"/>
  <c r="L6" i="2"/>
  <c r="L14" i="2"/>
  <c r="L12" i="2"/>
  <c r="L55" i="2"/>
  <c r="L29" i="2"/>
  <c r="N6" i="2"/>
  <c r="L26" i="2"/>
  <c r="L36" i="2"/>
  <c r="L46" i="2"/>
  <c r="L53" i="2"/>
  <c r="L41" i="2"/>
  <c r="L28" i="2"/>
  <c r="L16" i="2"/>
  <c r="L38" i="2"/>
  <c r="L49" i="2"/>
  <c r="L33" i="2"/>
  <c r="L52" i="2"/>
  <c r="L40" i="2"/>
  <c r="L27" i="2"/>
  <c r="L15" i="2"/>
  <c r="L51" i="2"/>
  <c r="L17" i="2"/>
  <c r="L7" i="2"/>
  <c r="I35" i="1"/>
  <c r="I37" i="1" s="1"/>
  <c r="V74" i="3"/>
  <c r="L95" i="3"/>
  <c r="L102" i="3"/>
  <c r="L94" i="3"/>
  <c r="L96" i="3"/>
  <c r="V50" i="3"/>
  <c r="I6" i="1"/>
  <c r="I7" i="1"/>
  <c r="J7" i="1" s="1"/>
  <c r="M57" i="2"/>
  <c r="G6" i="1"/>
  <c r="H6" i="1" s="1"/>
  <c r="L78" i="3"/>
  <c r="I9" i="1"/>
  <c r="L80" i="3"/>
  <c r="L88" i="3"/>
  <c r="L100" i="3"/>
  <c r="L75" i="3"/>
  <c r="L99" i="3"/>
  <c r="L89" i="3"/>
  <c r="L109" i="3"/>
  <c r="L83" i="3"/>
  <c r="L92" i="3"/>
  <c r="L104" i="3"/>
  <c r="L84" i="3"/>
  <c r="L93" i="3"/>
  <c r="L105" i="3"/>
  <c r="L108" i="3"/>
  <c r="L79" i="3"/>
  <c r="L81" i="3"/>
  <c r="L85" i="3"/>
  <c r="L90" i="3"/>
  <c r="L97" i="3"/>
  <c r="L101" i="3"/>
  <c r="L74" i="3"/>
  <c r="L82" i="3"/>
  <c r="L86" i="3"/>
  <c r="L91" i="3"/>
  <c r="L98" i="3"/>
  <c r="L103" i="3"/>
  <c r="L107" i="3"/>
  <c r="L106" i="3"/>
  <c r="L110" i="3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9" i="1" l="1"/>
  <c r="H9" i="1"/>
  <c r="G8" i="1"/>
  <c r="G10" i="1" s="1"/>
  <c r="M110" i="3"/>
  <c r="M90" i="3"/>
  <c r="M89" i="3"/>
  <c r="M88" i="3"/>
  <c r="M86" i="3"/>
  <c r="M85" i="3"/>
  <c r="M84" i="3"/>
  <c r="M83" i="3"/>
  <c r="M82" i="3"/>
  <c r="M81" i="3"/>
  <c r="M79" i="3"/>
  <c r="M78" i="3"/>
  <c r="M74" i="3"/>
  <c r="M71" i="3"/>
  <c r="M69" i="3"/>
  <c r="M68" i="3"/>
  <c r="M66" i="3"/>
  <c r="M65" i="3"/>
  <c r="M64" i="3"/>
  <c r="M57" i="3"/>
  <c r="M56" i="3"/>
  <c r="M55" i="3"/>
  <c r="M53" i="3"/>
  <c r="M52" i="3"/>
  <c r="M51" i="3"/>
  <c r="M50" i="3"/>
  <c r="M49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1" i="3"/>
  <c r="M20" i="3"/>
  <c r="M19" i="3"/>
  <c r="M18" i="3"/>
  <c r="M17" i="3"/>
  <c r="M16" i="3"/>
  <c r="M15" i="3"/>
  <c r="M14" i="3"/>
  <c r="M13" i="3"/>
  <c r="M12" i="3"/>
  <c r="M10" i="3"/>
  <c r="M9" i="3"/>
  <c r="M8" i="3"/>
  <c r="M7" i="3"/>
  <c r="L9" i="1"/>
  <c r="L7" i="1"/>
  <c r="L6" i="1"/>
  <c r="M54" i="3"/>
  <c r="G25" i="1" l="1"/>
  <c r="J15" i="1"/>
  <c r="L15" i="1"/>
  <c r="F52" i="2" l="1"/>
  <c r="F6" i="2" s="1"/>
  <c r="M53" i="2"/>
  <c r="G46" i="2" l="1"/>
  <c r="G50" i="2"/>
  <c r="G12" i="2"/>
  <c r="G55" i="2"/>
  <c r="G11" i="2"/>
  <c r="G17" i="2"/>
  <c r="G44" i="2"/>
  <c r="G6" i="2"/>
  <c r="G8" i="2"/>
  <c r="G61" i="2"/>
  <c r="G7" i="2"/>
  <c r="G38" i="2"/>
  <c r="G43" i="2"/>
  <c r="G53" i="2"/>
  <c r="G28" i="2"/>
  <c r="G23" i="2"/>
  <c r="F6" i="1"/>
  <c r="G33" i="2"/>
  <c r="G57" i="2"/>
  <c r="G58" i="2"/>
  <c r="M6" i="2"/>
  <c r="G47" i="2"/>
  <c r="G32" i="2"/>
  <c r="G22" i="2"/>
  <c r="G34" i="2"/>
  <c r="G42" i="2"/>
  <c r="G15" i="2"/>
  <c r="G64" i="2"/>
  <c r="G45" i="2"/>
  <c r="G51" i="2"/>
  <c r="G41" i="2"/>
  <c r="G40" i="2"/>
  <c r="G52" i="2"/>
  <c r="M52" i="2"/>
  <c r="F10" i="1" l="1"/>
  <c r="J6" i="1"/>
  <c r="F25" i="1" l="1"/>
  <c r="K6" i="3"/>
  <c r="K5" i="3" s="1"/>
  <c r="M11" i="3"/>
  <c r="V11" i="3"/>
  <c r="J11" i="3"/>
  <c r="J6" i="3" l="1"/>
  <c r="L5" i="3"/>
  <c r="L34" i="3"/>
  <c r="L41" i="3"/>
  <c r="L30" i="3"/>
  <c r="M5" i="3"/>
  <c r="L17" i="3"/>
  <c r="L42" i="3"/>
  <c r="L68" i="3"/>
  <c r="J5" i="3"/>
  <c r="L52" i="3"/>
  <c r="L10" i="3"/>
  <c r="L72" i="3"/>
  <c r="L60" i="3"/>
  <c r="L47" i="3"/>
  <c r="L31" i="3"/>
  <c r="L23" i="3"/>
  <c r="L33" i="3"/>
  <c r="L28" i="3"/>
  <c r="L13" i="3"/>
  <c r="L53" i="3"/>
  <c r="L70" i="3"/>
  <c r="L19" i="3"/>
  <c r="L8" i="3"/>
  <c r="L25" i="3"/>
  <c r="L27" i="3"/>
  <c r="L11" i="3"/>
  <c r="L54" i="3"/>
  <c r="L56" i="3"/>
  <c r="L37" i="3"/>
  <c r="L24" i="3"/>
  <c r="L21" i="3"/>
  <c r="L61" i="3"/>
  <c r="L18" i="3"/>
  <c r="L20" i="3"/>
  <c r="L69" i="3"/>
  <c r="L45" i="3"/>
  <c r="L44" i="3"/>
  <c r="L48" i="3"/>
  <c r="L49" i="3"/>
  <c r="L43" i="3"/>
  <c r="L22" i="3"/>
  <c r="I8" i="1"/>
  <c r="H8" i="1" s="1"/>
  <c r="L51" i="3"/>
  <c r="L66" i="3"/>
  <c r="L50" i="3"/>
  <c r="L35" i="3"/>
  <c r="L16" i="3"/>
  <c r="L40" i="3"/>
  <c r="L59" i="3"/>
  <c r="L58" i="3"/>
  <c r="L36" i="3"/>
  <c r="L12" i="3"/>
  <c r="L32" i="3"/>
  <c r="V5" i="3"/>
  <c r="L14" i="3"/>
  <c r="L38" i="3"/>
  <c r="L29" i="3"/>
  <c r="L9" i="3"/>
  <c r="L7" i="3"/>
  <c r="L46" i="3"/>
  <c r="L67" i="3"/>
  <c r="L63" i="3"/>
  <c r="L64" i="3"/>
  <c r="L26" i="3"/>
  <c r="L65" i="3"/>
  <c r="L62" i="3"/>
  <c r="L71" i="3"/>
  <c r="L39" i="3"/>
  <c r="L55" i="3"/>
  <c r="L15" i="3"/>
  <c r="L57" i="3"/>
  <c r="V6" i="3"/>
  <c r="L6" i="3"/>
  <c r="M6" i="3"/>
  <c r="I10" i="1" l="1"/>
  <c r="H10" i="1" s="1"/>
  <c r="L8" i="1"/>
  <c r="J8" i="1"/>
  <c r="I25" i="1" l="1"/>
  <c r="J10" i="1"/>
  <c r="L10" i="1"/>
  <c r="J25" i="1" l="1"/>
  <c r="L25" i="1"/>
</calcChain>
</file>

<file path=xl/sharedStrings.xml><?xml version="1.0" encoding="utf-8"?>
<sst xmlns="http://schemas.openxmlformats.org/spreadsheetml/2006/main" count="390" uniqueCount="270">
  <si>
    <t>RAČUN PRIHODA I RASHODA</t>
  </si>
  <si>
    <t>Tablica br.2</t>
  </si>
  <si>
    <t>Projekcija plana                           za 2014.</t>
  </si>
  <si>
    <t>Projekcija plana                           za 2015.</t>
  </si>
  <si>
    <t>PRIHODI POSLOVANJA</t>
  </si>
  <si>
    <t>PRIHODI OD NEFINANCIJSKE IMOVINE</t>
  </si>
  <si>
    <t>RASHODI  POSLOVANJA</t>
  </si>
  <si>
    <t>RASHODI ZA NEFINANCIJSKU IMOVINU</t>
  </si>
  <si>
    <t>RAZLIKA - VIŠAK / MANJAK</t>
  </si>
  <si>
    <t>RASPOLOŽIVA SREDSTVA IZ PRETHODNE GODINE</t>
  </si>
  <si>
    <t>RAČUN FINANCIRANJA</t>
  </si>
  <si>
    <t>PRIMICI OD FINANCIJSKE IMOVINE I ZADUŽIVANJA</t>
  </si>
  <si>
    <t>IZDACI ZA FINANCIJSKU IMOVINU I OTPLATE ZAJMOVA</t>
  </si>
  <si>
    <t>NETO FINANCIRANJE</t>
  </si>
  <si>
    <t>VIŠAK / MANJAK + NETO FINANCIRANJE</t>
  </si>
  <si>
    <t>Raz-red</t>
  </si>
  <si>
    <t>Sku-pina</t>
  </si>
  <si>
    <t>Podskupina</t>
  </si>
  <si>
    <t>Odje-ljak</t>
  </si>
  <si>
    <t>Naziv prihoda</t>
  </si>
  <si>
    <t>Projekcija plana    za 2015</t>
  </si>
  <si>
    <t>Index           ostvareno2013/plan2013</t>
  </si>
  <si>
    <t>Pomoći iz inozemstva (darovnice) i od subjekata unutar općeg proračuna</t>
  </si>
  <si>
    <t>Pomoći od međ.org.te instit.i tijela EU</t>
  </si>
  <si>
    <t>Pomoći iz proračuna</t>
  </si>
  <si>
    <t>Kapitalne pomoći od međunarodnih organizacija</t>
  </si>
  <si>
    <t>Pomoći od ostalih subjekta unutar općeg proračuna</t>
  </si>
  <si>
    <t>Tekuće pomoći iz proračuna</t>
  </si>
  <si>
    <t>Državni proračun</t>
  </si>
  <si>
    <t>Lokalna uprava</t>
  </si>
  <si>
    <t>Kapitalne pomoći iz proračuna</t>
  </si>
  <si>
    <t>Prihodi od imovine</t>
  </si>
  <si>
    <t>Prihodi od financijske imovine</t>
  </si>
  <si>
    <t>Kamate na oročena sredstva i depozite po viđenju</t>
  </si>
  <si>
    <t xml:space="preserve">Prihodi od zateznih kamata </t>
  </si>
  <si>
    <t>Prihodi od dividendi</t>
  </si>
  <si>
    <t>Ostali prihodi od financijske imovine</t>
  </si>
  <si>
    <t>Prihodi od nefinancijske imovine</t>
  </si>
  <si>
    <t>Prihodi od zakupa i iznajmljivanja imovine</t>
  </si>
  <si>
    <t>Ostali prihodi od nefinancijske imovine</t>
  </si>
  <si>
    <t>Prihodi od kamata na dane zajmove tuzemnim trgovačkim  društvima i obrtnicima izvan javnog sektora</t>
  </si>
  <si>
    <t>Prihodi od upravnih i administrativnih pristojbi, pristojbi po posebnim propisima i naknada</t>
  </si>
  <si>
    <t>Ostale pristojbe i naknade</t>
  </si>
  <si>
    <t>Prihodi vodnog gospodarstva</t>
  </si>
  <si>
    <t xml:space="preserve">Naknada za uređenje voda </t>
  </si>
  <si>
    <t>Naknada za zaštitu voda</t>
  </si>
  <si>
    <t>Naknada za korištenje voda</t>
  </si>
  <si>
    <t>Vodni doprinos</t>
  </si>
  <si>
    <t>Ostali nespomenuti prihodi</t>
  </si>
  <si>
    <t>Prihodi s naslova osiguranja, refundacija štete i totalne štete</t>
  </si>
  <si>
    <t>Prihodi  od prodaje proizvoda i robe te pruženih usluga i prihodi od donacija</t>
  </si>
  <si>
    <t>Prihodi od prodaje roba</t>
  </si>
  <si>
    <t>Prihodi od pružanja usluga</t>
  </si>
  <si>
    <t>Prihodi od usluga smještaja</t>
  </si>
  <si>
    <t>Prihod od hrane i pića</t>
  </si>
  <si>
    <t>Prihod od izleta</t>
  </si>
  <si>
    <t>Prihod od sporta</t>
  </si>
  <si>
    <t>Prihod od veza broda</t>
  </si>
  <si>
    <t>Ostali prihodi od usluga</t>
  </si>
  <si>
    <t>Donacije od pravnih i fizičkih osoba izvan opće države</t>
  </si>
  <si>
    <t>Kapitalne donacije</t>
  </si>
  <si>
    <t>Prihodi iz proračuna</t>
  </si>
  <si>
    <t>Prihodi  iz proračuna za financ.red.djelatnosti</t>
  </si>
  <si>
    <t>Kazne, upravne mjere i ostali prihodi</t>
  </si>
  <si>
    <t>Kazne i upravne mjere</t>
  </si>
  <si>
    <t>Ostali prihodi</t>
  </si>
  <si>
    <t>PRIHODI OD PRODAJE NEFINANCIJSKE IMOVINE</t>
  </si>
  <si>
    <t>Prihodi od prodaje proizvedene dugotrajne imovine</t>
  </si>
  <si>
    <t>Prihodi od prodaje prijevoznih sredstava</t>
  </si>
  <si>
    <t>Prihodi od prodaje višegodišnjih nasada i stada</t>
  </si>
  <si>
    <t>OSTVARENI PRIHODI POSLOVANJA I PRIHODI OD PRODAJE NEFINANCIJSKE IMOVINE ZA RAZDOBLJE 01.10.-31.10.2013.U USPOREDBI SA PLANOM ZA 2013.GODINU</t>
  </si>
  <si>
    <t>Odjeljak</t>
  </si>
  <si>
    <t>Naziv rashoda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</si>
  <si>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</si>
  <si>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</si>
  <si>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</si>
  <si>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</si>
  <si>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</si>
  <si>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</si>
  <si>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</si>
  <si>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</si>
  <si>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mirovinsko osiguranje</t>
  </si>
  <si>
    <t xml:space="preserve">Doprinosi za obvezno zdravstveno osiguranje </t>
  </si>
  <si>
    <t xml:space="preserve">Doprinosi za obvezno osig. u slučaju nezaposlenosti </t>
  </si>
  <si>
    <t>Materijalni rashodi</t>
  </si>
  <si>
    <t>Naknade troškova zaposlenima</t>
  </si>
  <si>
    <t>Službena putovanja</t>
  </si>
  <si>
    <t>Naknade za prijevoz, za rad na terenu i odvojeni život</t>
  </si>
  <si>
    <t>3213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</si>
  <si>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</si>
  <si>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</si>
  <si>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</si>
  <si>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</si>
  <si>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</si>
  <si>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</si>
  <si>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</si>
  <si>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3225</t>
  </si>
  <si>
    <t>Sitni inventar i auto gume</t>
  </si>
  <si>
    <t>Službena, radna i zaštitna odjeća i obuća</t>
  </si>
  <si>
    <t>Rashodi za usluge</t>
  </si>
  <si>
    <t>Usluge telefona, pošte i prijevoza</t>
  </si>
  <si>
    <t xml:space="preserve">Usluge tekućeg i investicijskog održavanja 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</si>
  <si>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</si>
  <si>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</si>
  <si>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</si>
  <si>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</si>
  <si>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</si>
  <si>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</si>
  <si>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</si>
  <si>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osobama izvan rad.odnosa</t>
  </si>
  <si>
    <t>Ostali nespomenuti rashodi poslovanja</t>
  </si>
  <si>
    <t>Naknade za rad predstavničkih i izvršnih tijela, povjerenstva i sl.</t>
  </si>
  <si>
    <t>Premije i osiguranja</t>
  </si>
  <si>
    <t>Reprezentacija</t>
  </si>
  <si>
    <t>Članarine</t>
  </si>
  <si>
    <t>Pristojbe i naknade</t>
  </si>
  <si>
    <t>Financijski rashodi</t>
  </si>
  <si>
    <t xml:space="preserve">Kamate za primljene kredite i zajmove </t>
  </si>
  <si>
    <t>3422</t>
  </si>
  <si>
    <t>Kamate za primljene kredite i zajmove od kreditnih  i ostalih financijskih institucija u javnom sektoru</t>
  </si>
  <si>
    <t>3423</t>
  </si>
  <si>
    <t>Kamate za primljene kredite i zajmove od kreditnih i ostalih financijskih institucija izvan javnog sektora</t>
  </si>
  <si>
    <t>Ostali financijski rashodi</t>
  </si>
  <si>
    <t>Bankarske usluge i usluge platnog prometa</t>
  </si>
  <si>
    <t>Negativne tečajne razlike</t>
  </si>
  <si>
    <t>Ostali rashodi</t>
  </si>
  <si>
    <t>Tekuće donacije</t>
  </si>
  <si>
    <t>Tekuće donacije u novcu</t>
  </si>
  <si>
    <t>Kazne, penali i naknade štete</t>
  </si>
  <si>
    <t>Naknade šteta pravnim i fizičkim osobama</t>
  </si>
  <si>
    <t>Ugovorne kazne i ostale naknade šteta</t>
  </si>
  <si>
    <t>Zatezne kamate</t>
  </si>
  <si>
    <t>Naknade šteta zaposlenima</t>
  </si>
  <si>
    <t>RASHODI ZA NABAVU NEFINANCIJSKE IMOVINE</t>
  </si>
  <si>
    <t>Rashodi za nabavu neproizvedene imovine</t>
  </si>
  <si>
    <t>Materijalna imovina - prirodna bogatstva</t>
  </si>
  <si>
    <t>Zemljište</t>
  </si>
  <si>
    <t>Rashodi za nabavu proizvedene dugotrajne imovine</t>
  </si>
  <si>
    <t>Građevinski objekti</t>
  </si>
  <si>
    <t>4212</t>
  </si>
  <si>
    <t xml:space="preserve">Poslovni objekti </t>
  </si>
  <si>
    <t>Ceste</t>
  </si>
  <si>
    <t>4214</t>
  </si>
  <si>
    <t>Ostali građevinski objekti</t>
  </si>
  <si>
    <t>Postrojenja i oprema</t>
  </si>
  <si>
    <t>4221</t>
  </si>
  <si>
    <t>Uredska oprema i namještaj</t>
  </si>
  <si>
    <t>4222</t>
  </si>
  <si>
    <t>Komunikacijska oprema</t>
  </si>
  <si>
    <t>Oprema za održavanje i zaštitu</t>
  </si>
  <si>
    <t>Uređaji, strojevi i oprema za ostale namjene</t>
  </si>
  <si>
    <t>Sportska i glazbena oprema</t>
  </si>
  <si>
    <t>Oprema za ostale namjene</t>
  </si>
  <si>
    <t>Prijevozna sredstva</t>
  </si>
  <si>
    <t>4231</t>
  </si>
  <si>
    <t>Prijevozna sredstva u cestovnom prometu</t>
  </si>
  <si>
    <t>Višegodišnji nasadi i osnovno stado</t>
  </si>
  <si>
    <t>Trajni nasadi</t>
  </si>
  <si>
    <t>Osnovno stado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</si>
  <si>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</si>
  <si>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</si>
  <si>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</si>
  <si>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</si>
  <si>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4511</t>
  </si>
  <si>
    <t>Dodatna ulaganja na prijevoznim sredstvima</t>
  </si>
  <si>
    <t>Dodatna ulaganja za ostalu nefinancijsku imovinu</t>
  </si>
  <si>
    <t>Primici od zaduživanja</t>
  </si>
  <si>
    <t>Primljeni krediti i zajmovi od kreditnih i ostalih financijskih institucija izvan javnog sektora</t>
  </si>
  <si>
    <t>Primljeni krediti od tuzemnih kreditnih institucija izvan javnog sektora</t>
  </si>
  <si>
    <t>Primljeni zajmovi od drugih razina vlasti</t>
  </si>
  <si>
    <t>Primljeni zajmovi od državnog proračuna</t>
  </si>
  <si>
    <t>Izdaci za otplatu glavnice primljenih kredita i zajmova</t>
  </si>
  <si>
    <t>Otplata glavnice primljenih zajmova i kredita od kreditnih i ostalih financijskih  institucija u javnom sektoru</t>
  </si>
  <si>
    <t>Otplata glavnice primljenih kredita od kreditnih institucija u javnom sektoru</t>
  </si>
  <si>
    <t>Otplata glavnice primljenih kredita i zajmova  od kreditnih  i ostalih financijskih institucija izvan javnog sektora</t>
  </si>
  <si>
    <t>Otplata glavnice primljenih kredita  od tuzemnih kreditnih  institucija izvan javnog sektora</t>
  </si>
  <si>
    <t xml:space="preserve">Otplata glavnice primljenih kredita  od inozemnih kreditnih institucija </t>
  </si>
  <si>
    <t>Otplata glavnice primljenih zajmova od drugih razina vlasti</t>
  </si>
  <si>
    <t>Otplata glavnice primljenih zajmova od državnog proračuna</t>
  </si>
  <si>
    <t>Plan                  za10.2013.</t>
  </si>
  <si>
    <t>Ostvarenje                    za 10.2012.</t>
  </si>
  <si>
    <t>Dodatna ulaganja na postrojenjima i opremi</t>
  </si>
  <si>
    <t>Prijevozna sredstva u pomorskom prometu</t>
  </si>
  <si>
    <t>Udio u %</t>
  </si>
  <si>
    <t>Ostale naknade</t>
  </si>
  <si>
    <t>Ostale naknade građanima i kućanstvima u novcu</t>
  </si>
  <si>
    <t>Stipendije i školarine</t>
  </si>
  <si>
    <t>Troškovi sudskih postupaka</t>
  </si>
  <si>
    <t>Ostale kazne</t>
  </si>
  <si>
    <t>Knjige, umj.djela i ost.izlož.vrijednosti</t>
  </si>
  <si>
    <t>Umjetniča djela</t>
  </si>
  <si>
    <t>Umjetnička, literarna i znanstvena djela</t>
  </si>
  <si>
    <t>AMORTIZACIJA</t>
  </si>
  <si>
    <t>VIŠAK/MANJAK PRIHODA IZ PRETHODNE GODINE</t>
  </si>
  <si>
    <t>Vlastiti prihodi</t>
  </si>
  <si>
    <t>Prihodi za posebne namjene</t>
  </si>
  <si>
    <t>Donacije</t>
  </si>
  <si>
    <t>Prihodi od nefinancijske imovine i naknade štete s osnova osiguranja</t>
  </si>
  <si>
    <t>eu</t>
  </si>
  <si>
    <t>pomoći</t>
  </si>
  <si>
    <t>Tekuće donacije u naravi</t>
  </si>
  <si>
    <t>Pomoći dane u inozemstvo i unutar općeg proračuna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</si>
  <si>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</si>
  <si>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</si>
  <si>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</si>
  <si>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</si>
  <si>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</si>
  <si>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Sufinanciranje cijene usluge, participacije i sl.</t>
  </si>
  <si>
    <t>Ostali nespomenuti prihodi po posebnim propisima</t>
  </si>
  <si>
    <t>Index            plan 2019 /ostvarenje 2017.</t>
  </si>
  <si>
    <t>Ostvarenje za 01.- 12.2017.</t>
  </si>
  <si>
    <t>Index plan 2019/ostvareno 2017.</t>
  </si>
  <si>
    <t>Prihodi od pozitivnih tečajnih razlika</t>
  </si>
  <si>
    <t>Pomoći pror.korisnicima iz proračuna koji im nije nadležan</t>
  </si>
  <si>
    <t>Osobni automobili</t>
  </si>
  <si>
    <t>Knjige</t>
  </si>
  <si>
    <t>Ostvarenje za 01.- 12.2018.</t>
  </si>
  <si>
    <t>Tekuće pomoći od međunarodnih organizacija</t>
  </si>
  <si>
    <t>Tekuće pomoći izvanproračunskih korisnika</t>
  </si>
  <si>
    <t>Kapitalne promoći izvanproračunskih korisnika</t>
  </si>
  <si>
    <t>Tekuće pomoći proračunu iz drugih proračuna</t>
  </si>
  <si>
    <t>Ukupno</t>
  </si>
  <si>
    <t>Namjenski primici od zaduživanja</t>
  </si>
  <si>
    <t>Prihodi od nefinancijske imovine i nadoknade štete s osnova osiguranja</t>
  </si>
  <si>
    <t>Sredstva učešća za pomoći</t>
  </si>
  <si>
    <t>Pomoći</t>
  </si>
  <si>
    <t>Eu projekti 563</t>
  </si>
  <si>
    <t>Eu projekti 51</t>
  </si>
  <si>
    <t>PLAN:  PRIHODI I PRIMICI</t>
  </si>
  <si>
    <t>Prijevozna sredstva u pomorskom i riječnom prometu</t>
  </si>
  <si>
    <t>NRB</t>
  </si>
  <si>
    <t>izvor 31</t>
  </si>
  <si>
    <t>izvor43</t>
  </si>
  <si>
    <t>izvor52</t>
  </si>
  <si>
    <t>izvor61</t>
  </si>
  <si>
    <t>izvor71</t>
  </si>
  <si>
    <t>izvor51+563</t>
  </si>
  <si>
    <t>ukupno</t>
  </si>
  <si>
    <t>Projekcija plana za 2025.</t>
  </si>
  <si>
    <t>Medicinska oprema</t>
  </si>
  <si>
    <t>PLAN 2024</t>
  </si>
  <si>
    <t>Projekcija plana za 2026.</t>
  </si>
  <si>
    <t>Plan za 2024.</t>
  </si>
  <si>
    <t>Plan 2024.</t>
  </si>
  <si>
    <t>Index           plan 2024./ plan 2023</t>
  </si>
  <si>
    <t>Prihodi od prodaje postrojenja i opreme</t>
  </si>
  <si>
    <t>Tablica 8.</t>
  </si>
  <si>
    <t xml:space="preserve">I IZMJENE I DOPUNE FINANCIJSKOG PLANA JUNP BRIJUNI ZA RAZDOBLJE 01.01. DO 31.12.2024. U USPOREDBI S PLANOM ZA 2024.GODINU </t>
  </si>
  <si>
    <t>Razlika</t>
  </si>
  <si>
    <t>I izmjene plan 2024.</t>
  </si>
  <si>
    <t xml:space="preserve">Prihodi  od prodaje proizvoda i robe te pruženih usluga </t>
  </si>
  <si>
    <t>RAZLIKA</t>
  </si>
  <si>
    <t xml:space="preserve">Plan za 2024. </t>
  </si>
  <si>
    <t>Ostvarenje za 01.- 08.2024.</t>
  </si>
  <si>
    <t>I izmjene i dopune Plan za 2024.</t>
  </si>
  <si>
    <t>I IZMJENE I DOPUNE PLAN 2024</t>
  </si>
  <si>
    <t xml:space="preserve"> I Izmjene i dopune Plan za 2024.</t>
  </si>
  <si>
    <t>Index I izmjene plan 2024./plan2024.</t>
  </si>
  <si>
    <t>Ministarstvo zaštite okoliša i zelene tranzicije/Nacionalni parkovi i parkovi prirode/Nacionalni park Brijuni</t>
  </si>
  <si>
    <t>Tablica 1</t>
  </si>
  <si>
    <t>Tablica 2.</t>
  </si>
  <si>
    <t>Tablica 3.</t>
  </si>
  <si>
    <t>Tablica 4.</t>
  </si>
  <si>
    <t>Index           I izmjene i dopune plan 2024/ plan2024</t>
  </si>
  <si>
    <t>Index I izmjene i dopune plan 2024./plan 2024.</t>
  </si>
  <si>
    <t>I IZMJENE I DOPUNE PLAN RAČUNA FINANCIRANJA ZA 2024. U USPOREDBI S PLANOM ZA 2024. GODINU</t>
  </si>
  <si>
    <t>I IZMJENE I DOPUNE PLAN PRIHODA POSLOVANJA I PRIHODA OD PRODAJE NEFINANCIJSKE IMOVINE ZA 2024.GODINU U USPOREDBI S PLANOM ZA 2024. GODINU</t>
  </si>
  <si>
    <t>I IZMJENE I DOPUNE PLAN PRIHODA I PRIMITAKA ZA 2024. U USPOREDBI S PLANOM ZA 2024. GODINU</t>
  </si>
  <si>
    <t>Instrumenti, uređaji i strojevi</t>
  </si>
  <si>
    <t>I IZMJENE PLAN RASHODA POSLOVANJA I RASHODA ZA NABAVU NEFINANCIJSKE IMOVINE ZA 2024. GODINU U USPOREDBI SA PLANOM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</si>
</sst>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1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MS Sans Serif"/>
      <family val="2"/>
      <charset val="238"/>
    </font>
    <font>
      <b/>
      <sz val="9.85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MS Sans Serif"/>
      <family val="2"/>
      <charset val="238"/>
    </font>
    <font>
      <b/>
      <sz val="11"/>
      <color indexed="8"/>
      <name val="Times New Roman"/>
      <family val="1"/>
    </font>
    <font>
      <sz val="9.85"/>
      <color indexed="8"/>
      <name val="Times New Roman"/>
      <family val="1"/>
    </font>
    <font>
      <i/>
      <sz val="9.85"/>
      <color indexed="8"/>
      <name val="Times New Roman"/>
      <family val="1"/>
    </font>
    <font>
      <b/>
      <i/>
      <sz val="9.85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2"/>
      <color indexed="8"/>
      <name val="TyponineSans Reg"/>
      <family val="3"/>
    </font>
    <font>
      <sz val="10"/>
      <color indexed="8"/>
      <name val="TyponineSans Reg"/>
      <family val="3"/>
    </font>
    <font>
      <sz val="11"/>
      <color theme="1"/>
      <name val="TyponineSans Reg"/>
      <family val="3"/>
    </font>
    <font>
      <b/>
      <sz val="9"/>
      <color indexed="8"/>
      <name val="TyponineSans Reg"/>
      <family val="3"/>
    </font>
    <font>
      <b/>
      <sz val="10"/>
      <color indexed="8"/>
      <name val="TyponineSans Reg"/>
      <family val="3"/>
    </font>
    <font>
      <b/>
      <sz val="9.85"/>
      <color indexed="8"/>
      <name val="TyponineSans Reg"/>
      <family val="3"/>
    </font>
    <font>
      <sz val="9.85"/>
      <color indexed="8"/>
      <name val="TyponineSans Reg"/>
      <family val="3"/>
    </font>
    <font>
      <sz val="9.85"/>
      <name val="TyponineSans Reg"/>
      <family val="3"/>
    </font>
    <font>
      <sz val="10"/>
      <name val="TyponineSans Reg"/>
      <family val="3"/>
    </font>
    <font>
      <i/>
      <sz val="9.85"/>
      <color indexed="8"/>
      <name val="TyponineSans Reg"/>
      <family val="3"/>
    </font>
    <font>
      <b/>
      <i/>
      <sz val="9.85"/>
      <color indexed="8"/>
      <name val="TyponineSans Reg"/>
      <family val="3"/>
    </font>
    <font>
      <b/>
      <sz val="10"/>
      <name val="TyponineSans Reg"/>
      <family val="3"/>
    </font>
    <font>
      <i/>
      <sz val="10"/>
      <color indexed="8"/>
      <name val="TyponineSans Reg"/>
      <family val="3"/>
    </font>
    <font>
      <b/>
      <sz val="14"/>
      <color indexed="8"/>
      <name val="TyponineSans Reg"/>
      <family val="3"/>
    </font>
    <font>
      <sz val="14"/>
      <color indexed="8"/>
      <name val="TyponineSans Reg"/>
      <family val="3"/>
    </font>
    <font>
      <b/>
      <sz val="12"/>
      <name val="TyponineSans Reg"/>
      <family val="3"/>
    </font>
    <font>
      <sz val="12"/>
      <name val="TyponineSans Reg"/>
      <family val="3"/>
    </font>
    <font>
      <sz val="12"/>
      <color indexed="8"/>
      <name val="TyponineSans Reg"/>
      <family val="3"/>
    </font>
    <font>
      <sz val="11"/>
      <color indexed="8"/>
      <name val="TyponineSans Reg"/>
      <family val="3"/>
    </font>
    <font>
      <b/>
      <sz val="11"/>
      <color indexed="8"/>
      <name val="TyponineSans Reg"/>
      <family val="3"/>
    </font>
    <font>
      <sz val="10"/>
      <color indexed="9"/>
      <name val="TyponineSans Reg"/>
      <family val="3"/>
    </font>
    <font>
      <sz val="8"/>
      <color indexed="8"/>
      <name val="TyponineSans Reg"/>
      <family val="3"/>
    </font>
    <font>
      <b/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Times New Roman"/>
      <family val="1"/>
    </font>
    <font>
      <b/>
      <sz val="9.85"/>
      <name val="TyponineSans Reg"/>
      <family val="3"/>
    </font>
    <font>
      <sz val="11"/>
      <name val="TyponineSans Reg"/>
      <family val="3"/>
    </font>
    <font>
      <sz val="10"/>
      <color indexed="8"/>
      <name val="MS Sans Serif"/>
      <family val="2"/>
      <charset val="238"/>
    </font>
    <font>
      <b/>
      <sz val="12"/>
      <color indexed="21"/>
      <name val="TyponineSans Reg"/>
      <family val="3"/>
    </font>
    <font>
      <sz val="9"/>
      <color theme="1"/>
      <name val="TyponineSans Reg"/>
      <family val="3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7" fillId="0" borderId="0"/>
    <xf numFmtId="0" fontId="50" fillId="0" borderId="0"/>
  </cellStyleXfs>
  <cellXfs count="643">
    <xf numFmtId="0" fontId="0" fillId="0" borderId="0" xfId="0"/>
    <xf numFmtId="0" fontId="2" fillId="0" borderId="0" xfId="1" applyFont="1"/>
    <xf numFmtId="0" fontId="7" fillId="0" borderId="0" xfId="1" applyFont="1" applyAlignment="1">
      <alignment wrapText="1"/>
    </xf>
    <xf numFmtId="0" fontId="8" fillId="0" borderId="4" xfId="1" quotePrefix="1" applyFont="1" applyBorder="1" applyAlignment="1">
      <alignment horizontal="left" vertical="center" wrapText="1"/>
    </xf>
    <xf numFmtId="0" fontId="8" fillId="0" borderId="5" xfId="1" quotePrefix="1" applyFont="1" applyBorder="1" applyAlignment="1">
      <alignment horizontal="left" vertical="center" wrapText="1"/>
    </xf>
    <xf numFmtId="0" fontId="8" fillId="0" borderId="5" xfId="1" quotePrefix="1" applyFont="1" applyBorder="1" applyAlignment="1">
      <alignment horizontal="center" vertical="center" wrapText="1"/>
    </xf>
    <xf numFmtId="0" fontId="3" fillId="0" borderId="5" xfId="1" quotePrefix="1" applyFont="1" applyBorder="1" applyAlignment="1">
      <alignment horizontal="center" vertical="center"/>
    </xf>
    <xf numFmtId="0" fontId="3" fillId="0" borderId="5" xfId="1" quotePrefix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wrapText="1"/>
    </xf>
    <xf numFmtId="0" fontId="2" fillId="0" borderId="8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 wrapText="1"/>
    </xf>
    <xf numFmtId="0" fontId="3" fillId="0" borderId="8" xfId="1" quotePrefix="1" applyFont="1" applyBorder="1" applyAlignment="1">
      <alignment horizontal="left" wrapText="1"/>
    </xf>
    <xf numFmtId="3" fontId="3" fillId="0" borderId="8" xfId="1" applyNumberFormat="1" applyFont="1" applyBorder="1" applyAlignment="1">
      <alignment wrapText="1"/>
    </xf>
    <xf numFmtId="3" fontId="3" fillId="0" borderId="8" xfId="1" applyNumberFormat="1" applyFont="1" applyBorder="1" applyAlignment="1">
      <alignment horizontal="right" wrapText="1"/>
    </xf>
    <xf numFmtId="164" fontId="4" fillId="0" borderId="9" xfId="1" applyNumberFormat="1" applyFont="1" applyBorder="1"/>
    <xf numFmtId="0" fontId="2" fillId="0" borderId="10" xfId="1" applyFont="1" applyBorder="1" applyAlignment="1">
      <alignment vertical="center" wrapText="1"/>
    </xf>
    <xf numFmtId="0" fontId="3" fillId="0" borderId="3" xfId="1" applyFont="1" applyBorder="1" applyAlignment="1">
      <alignment vertical="top" wrapText="1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wrapText="1"/>
    </xf>
    <xf numFmtId="3" fontId="3" fillId="0" borderId="3" xfId="1" applyNumberFormat="1" applyFont="1" applyBorder="1" applyAlignment="1">
      <alignment wrapText="1"/>
    </xf>
    <xf numFmtId="3" fontId="3" fillId="0" borderId="3" xfId="1" applyNumberFormat="1" applyFont="1" applyBorder="1" applyAlignment="1">
      <alignment horizontal="right" wrapText="1"/>
    </xf>
    <xf numFmtId="0" fontId="2" fillId="0" borderId="11" xfId="1" applyFont="1" applyBorder="1" applyAlignment="1">
      <alignment vertical="center" wrapText="1"/>
    </xf>
    <xf numFmtId="0" fontId="3" fillId="0" borderId="12" xfId="1" applyFont="1" applyBorder="1" applyAlignment="1">
      <alignment vertical="top" wrapText="1"/>
    </xf>
    <xf numFmtId="0" fontId="9" fillId="0" borderId="3" xfId="1" applyFont="1" applyBorder="1" applyAlignment="1">
      <alignment wrapText="1"/>
    </xf>
    <xf numFmtId="3" fontId="9" fillId="0" borderId="3" xfId="1" applyNumberFormat="1" applyFont="1" applyBorder="1" applyAlignment="1">
      <alignment wrapText="1"/>
    </xf>
    <xf numFmtId="3" fontId="9" fillId="0" borderId="3" xfId="1" applyNumberFormat="1" applyFont="1" applyBorder="1" applyAlignment="1">
      <alignment horizontal="right" wrapText="1"/>
    </xf>
    <xf numFmtId="164" fontId="9" fillId="0" borderId="9" xfId="1" applyNumberFormat="1" applyFont="1" applyBorder="1"/>
    <xf numFmtId="0" fontId="9" fillId="0" borderId="11" xfId="1" applyFont="1" applyBorder="1" applyAlignment="1">
      <alignment vertical="center" wrapText="1"/>
    </xf>
    <xf numFmtId="0" fontId="9" fillId="0" borderId="12" xfId="1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wrapText="1"/>
    </xf>
    <xf numFmtId="3" fontId="10" fillId="0" borderId="3" xfId="1" applyNumberFormat="1" applyFont="1" applyBorder="1" applyAlignment="1">
      <alignment horizontal="right" wrapText="1"/>
    </xf>
    <xf numFmtId="0" fontId="9" fillId="0" borderId="13" xfId="1" applyFont="1" applyBorder="1" applyAlignment="1">
      <alignment vertical="center" wrapText="1"/>
    </xf>
    <xf numFmtId="0" fontId="9" fillId="0" borderId="3" xfId="1" quotePrefix="1" applyFont="1" applyBorder="1" applyAlignment="1">
      <alignment horizontal="left" wrapText="1"/>
    </xf>
    <xf numFmtId="3" fontId="9" fillId="0" borderId="3" xfId="1" quotePrefix="1" applyNumberFormat="1" applyFont="1" applyBorder="1" applyAlignment="1">
      <alignment wrapText="1"/>
    </xf>
    <xf numFmtId="0" fontId="9" fillId="0" borderId="11" xfId="1" applyFont="1" applyBorder="1" applyAlignment="1">
      <alignment wrapText="1"/>
    </xf>
    <xf numFmtId="0" fontId="9" fillId="0" borderId="14" xfId="1" applyFont="1" applyBorder="1" applyAlignment="1">
      <alignment wrapText="1"/>
    </xf>
    <xf numFmtId="0" fontId="9" fillId="0" borderId="3" xfId="1" applyFont="1" applyBorder="1" applyAlignment="1">
      <alignment horizontal="center" wrapText="1"/>
    </xf>
    <xf numFmtId="3" fontId="11" fillId="0" borderId="3" xfId="1" applyNumberFormat="1" applyFont="1" applyBorder="1" applyAlignment="1">
      <alignment horizontal="right" wrapText="1"/>
    </xf>
    <xf numFmtId="0" fontId="4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left" wrapText="1"/>
    </xf>
    <xf numFmtId="3" fontId="4" fillId="0" borderId="3" xfId="1" applyNumberFormat="1" applyFont="1" applyBorder="1" applyAlignment="1">
      <alignment wrapText="1"/>
    </xf>
    <xf numFmtId="3" fontId="4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3" xfId="1" applyFont="1" applyBorder="1" applyAlignment="1">
      <alignment horizontal="center" vertical="top" wrapText="1"/>
    </xf>
    <xf numFmtId="0" fontId="4" fillId="0" borderId="3" xfId="1" applyFont="1" applyBorder="1" applyAlignment="1">
      <alignment vertical="top" wrapText="1"/>
    </xf>
    <xf numFmtId="3" fontId="12" fillId="0" borderId="3" xfId="1" applyNumberFormat="1" applyFont="1" applyBorder="1" applyAlignment="1">
      <alignment horizontal="right" wrapText="1"/>
    </xf>
    <xf numFmtId="0" fontId="4" fillId="0" borderId="3" xfId="1" applyFont="1" applyBorder="1" applyAlignment="1">
      <alignment vertical="top"/>
    </xf>
    <xf numFmtId="0" fontId="13" fillId="0" borderId="3" xfId="1" applyFont="1" applyBorder="1" applyAlignment="1">
      <alignment wrapText="1"/>
    </xf>
    <xf numFmtId="0" fontId="4" fillId="0" borderId="12" xfId="1" applyFont="1" applyBorder="1" applyAlignment="1">
      <alignment vertical="top"/>
    </xf>
    <xf numFmtId="0" fontId="11" fillId="0" borderId="3" xfId="1" applyFont="1" applyBorder="1" applyAlignment="1">
      <alignment wrapText="1"/>
    </xf>
    <xf numFmtId="3" fontId="11" fillId="0" borderId="3" xfId="1" applyNumberFormat="1" applyFont="1" applyBorder="1" applyAlignment="1">
      <alignment wrapText="1"/>
    </xf>
    <xf numFmtId="0" fontId="4" fillId="0" borderId="13" xfId="1" applyFont="1" applyBorder="1" applyAlignment="1">
      <alignment vertical="top"/>
    </xf>
    <xf numFmtId="0" fontId="4" fillId="0" borderId="3" xfId="1" applyFont="1" applyBorder="1" applyAlignment="1">
      <alignment wrapText="1"/>
    </xf>
    <xf numFmtId="0" fontId="9" fillId="0" borderId="15" xfId="1" applyFont="1" applyBorder="1" applyAlignment="1">
      <alignment vertical="center" wrapText="1"/>
    </xf>
    <xf numFmtId="0" fontId="4" fillId="0" borderId="16" xfId="1" applyFont="1" applyBorder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4" fillId="0" borderId="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right" wrapText="1"/>
    </xf>
    <xf numFmtId="0" fontId="2" fillId="0" borderId="11" xfId="1" applyFont="1" applyBorder="1" applyAlignment="1">
      <alignment horizontal="right" wrapText="1"/>
    </xf>
    <xf numFmtId="0" fontId="4" fillId="0" borderId="12" xfId="1" applyFont="1" applyBorder="1" applyAlignment="1">
      <alignment horizontal="right" wrapText="1"/>
    </xf>
    <xf numFmtId="0" fontId="9" fillId="0" borderId="12" xfId="1" applyFont="1" applyBorder="1" applyAlignment="1">
      <alignment horizontal="center" vertical="center" wrapText="1"/>
    </xf>
    <xf numFmtId="0" fontId="9" fillId="0" borderId="12" xfId="1" applyFont="1" applyBorder="1" applyAlignment="1">
      <alignment wrapText="1"/>
    </xf>
    <xf numFmtId="3" fontId="9" fillId="0" borderId="12" xfId="1" applyNumberFormat="1" applyFont="1" applyBorder="1" applyAlignment="1">
      <alignment wrapText="1"/>
    </xf>
    <xf numFmtId="3" fontId="9" fillId="0" borderId="12" xfId="1" applyNumberFormat="1" applyFont="1" applyBorder="1" applyAlignment="1">
      <alignment horizontal="right" wrapText="1"/>
    </xf>
    <xf numFmtId="3" fontId="4" fillId="0" borderId="12" xfId="1" applyNumberFormat="1" applyFont="1" applyBorder="1" applyAlignment="1">
      <alignment horizontal="right" wrapText="1"/>
    </xf>
    <xf numFmtId="0" fontId="9" fillId="0" borderId="17" xfId="1" applyFont="1" applyBorder="1" applyAlignment="1">
      <alignment horizontal="right" wrapText="1"/>
    </xf>
    <xf numFmtId="0" fontId="9" fillId="0" borderId="18" xfId="1" applyFont="1" applyBorder="1" applyAlignment="1">
      <alignment horizontal="right" wrapText="1"/>
    </xf>
    <xf numFmtId="0" fontId="9" fillId="0" borderId="18" xfId="1" applyFont="1" applyBorder="1" applyAlignment="1">
      <alignment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8" xfId="1" applyFont="1" applyBorder="1" applyAlignment="1">
      <alignment wrapText="1"/>
    </xf>
    <xf numFmtId="3" fontId="9" fillId="0" borderId="18" xfId="1" applyNumberFormat="1" applyFont="1" applyBorder="1" applyAlignment="1">
      <alignment wrapText="1"/>
    </xf>
    <xf numFmtId="3" fontId="9" fillId="0" borderId="18" xfId="1" applyNumberFormat="1" applyFont="1" applyBorder="1" applyAlignment="1">
      <alignment horizontal="right" wrapText="1"/>
    </xf>
    <xf numFmtId="3" fontId="10" fillId="0" borderId="18" xfId="1" applyNumberFormat="1" applyFont="1" applyBorder="1" applyAlignment="1">
      <alignment horizontal="right" wrapText="1"/>
    </xf>
    <xf numFmtId="164" fontId="9" fillId="0" borderId="19" xfId="1" applyNumberFormat="1" applyFont="1" applyBorder="1"/>
    <xf numFmtId="0" fontId="9" fillId="0" borderId="0" xfId="1" applyFont="1" applyAlignment="1">
      <alignment horizontal="right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horizontal="right" wrapText="1"/>
    </xf>
    <xf numFmtId="0" fontId="9" fillId="0" borderId="0" xfId="1" applyFont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right"/>
    </xf>
    <xf numFmtId="0" fontId="9" fillId="0" borderId="0" xfId="1" applyFont="1" applyAlignment="1">
      <alignment horizontal="left" vertical="center" wrapText="1"/>
    </xf>
    <xf numFmtId="0" fontId="5" fillId="0" borderId="0" xfId="1" quotePrefix="1" applyFont="1" applyAlignment="1">
      <alignment horizontal="left" vertical="center"/>
    </xf>
    <xf numFmtId="0" fontId="14" fillId="0" borderId="0" xfId="1" applyFont="1" applyAlignment="1">
      <alignment vertical="center" wrapText="1"/>
    </xf>
    <xf numFmtId="0" fontId="15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6" fillId="0" borderId="0" xfId="1" quotePrefix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6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16" fillId="0" borderId="0" xfId="1" quotePrefix="1" applyFont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0" fontId="17" fillId="0" borderId="0" xfId="1" quotePrefix="1" applyFont="1" applyAlignment="1">
      <alignment horizontal="center" vertical="center"/>
    </xf>
    <xf numFmtId="0" fontId="17" fillId="0" borderId="0" xfId="1" quotePrefix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9" fillId="0" borderId="0" xfId="1" quotePrefix="1" applyFont="1" applyAlignment="1">
      <alignment horizontal="center" vertical="center"/>
    </xf>
    <xf numFmtId="3" fontId="19" fillId="0" borderId="0" xfId="1" applyNumberFormat="1" applyFont="1"/>
    <xf numFmtId="0" fontId="8" fillId="0" borderId="0" xfId="1" quotePrefix="1" applyFont="1" applyAlignment="1">
      <alignment horizontal="center" vertical="center" wrapText="1"/>
    </xf>
    <xf numFmtId="0" fontId="3" fillId="0" borderId="0" xfId="1" quotePrefix="1" applyFont="1" applyAlignment="1">
      <alignment horizontal="left" vertical="center"/>
    </xf>
    <xf numFmtId="0" fontId="2" fillId="0" borderId="0" xfId="1" quotePrefix="1" applyFont="1" applyAlignment="1">
      <alignment horizontal="center" vertical="center"/>
    </xf>
    <xf numFmtId="3" fontId="2" fillId="0" borderId="0" xfId="1" quotePrefix="1" applyNumberFormat="1" applyFont="1" applyAlignment="1">
      <alignment horizontal="left"/>
    </xf>
    <xf numFmtId="3" fontId="3" fillId="0" borderId="0" xfId="1" quotePrefix="1" applyNumberFormat="1" applyFont="1" applyAlignment="1">
      <alignment horizontal="left"/>
    </xf>
    <xf numFmtId="3" fontId="2" fillId="0" borderId="0" xfId="1" applyNumberFormat="1" applyFont="1"/>
    <xf numFmtId="3" fontId="3" fillId="0" borderId="0" xfId="1" quotePrefix="1" applyNumberFormat="1" applyFont="1" applyAlignment="1">
      <alignment horizontal="left" wrapText="1"/>
    </xf>
    <xf numFmtId="3" fontId="3" fillId="0" borderId="0" xfId="1" applyNumberFormat="1" applyFont="1"/>
    <xf numFmtId="0" fontId="1" fillId="0" borderId="0" xfId="1" applyAlignment="1">
      <alignment vertical="center" wrapText="1"/>
    </xf>
    <xf numFmtId="3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quotePrefix="1" applyFont="1" applyAlignment="1">
      <alignment horizontal="left"/>
    </xf>
    <xf numFmtId="0" fontId="21" fillId="0" borderId="0" xfId="1" applyFont="1"/>
    <xf numFmtId="0" fontId="22" fillId="0" borderId="0" xfId="0" applyFont="1"/>
    <xf numFmtId="0" fontId="23" fillId="0" borderId="4" xfId="1" quotePrefix="1" applyFont="1" applyBorder="1" applyAlignment="1">
      <alignment horizontal="center" vertical="center" wrapText="1"/>
    </xf>
    <xf numFmtId="0" fontId="23" fillId="0" borderId="5" xfId="1" quotePrefix="1" applyFont="1" applyBorder="1" applyAlignment="1">
      <alignment horizontal="center" vertical="center" wrapText="1"/>
    </xf>
    <xf numFmtId="0" fontId="24" fillId="0" borderId="5" xfId="1" quotePrefix="1" applyFont="1" applyBorder="1" applyAlignment="1">
      <alignment horizontal="center" vertical="center"/>
    </xf>
    <xf numFmtId="0" fontId="24" fillId="0" borderId="5" xfId="1" quotePrefix="1" applyFont="1" applyBorder="1" applyAlignment="1">
      <alignment horizontal="center" vertical="center" wrapText="1"/>
    </xf>
    <xf numFmtId="0" fontId="24" fillId="0" borderId="27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5" fillId="0" borderId="11" xfId="1" quotePrefix="1" applyFont="1" applyBorder="1" applyAlignment="1">
      <alignment horizontal="center" vertical="center" wrapText="1"/>
    </xf>
    <xf numFmtId="0" fontId="25" fillId="0" borderId="14" xfId="1" quotePrefix="1" applyFont="1" applyBorder="1" applyAlignment="1">
      <alignment horizontal="center" vertical="center" wrapText="1"/>
    </xf>
    <xf numFmtId="0" fontId="25" fillId="0" borderId="20" xfId="1" quotePrefix="1" applyFont="1" applyBorder="1" applyAlignment="1">
      <alignment horizontal="center" vertical="center" wrapText="1"/>
    </xf>
    <xf numFmtId="0" fontId="24" fillId="0" borderId="14" xfId="1" quotePrefix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right"/>
    </xf>
    <xf numFmtId="0" fontId="21" fillId="0" borderId="3" xfId="1" applyFont="1" applyBorder="1" applyAlignment="1">
      <alignment horizontal="right"/>
    </xf>
    <xf numFmtId="0" fontId="25" fillId="0" borderId="1" xfId="1" applyFont="1" applyBorder="1" applyAlignment="1">
      <alignment horizontal="right"/>
    </xf>
    <xf numFmtId="0" fontId="25" fillId="0" borderId="3" xfId="1" quotePrefix="1" applyFont="1" applyBorder="1" applyAlignment="1">
      <alignment horizontal="left"/>
    </xf>
    <xf numFmtId="3" fontId="24" fillId="0" borderId="3" xfId="1" applyNumberFormat="1" applyFont="1" applyBorder="1"/>
    <xf numFmtId="2" fontId="25" fillId="0" borderId="3" xfId="1" applyNumberFormat="1" applyFont="1" applyBorder="1" applyAlignment="1">
      <alignment horizontal="right" vertical="center"/>
    </xf>
    <xf numFmtId="164" fontId="24" fillId="0" borderId="9" xfId="1" applyNumberFormat="1" applyFont="1" applyBorder="1"/>
    <xf numFmtId="0" fontId="24" fillId="0" borderId="11" xfId="1" applyFont="1" applyBorder="1" applyAlignment="1">
      <alignment horizontal="right" vertical="top"/>
    </xf>
    <xf numFmtId="0" fontId="24" fillId="0" borderId="3" xfId="1" applyFont="1" applyBorder="1" applyAlignment="1">
      <alignment horizontal="right" vertical="top"/>
    </xf>
    <xf numFmtId="0" fontId="25" fillId="0" borderId="1" xfId="1" applyFont="1" applyBorder="1" applyAlignment="1">
      <alignment horizontal="right" vertical="top"/>
    </xf>
    <xf numFmtId="0" fontId="25" fillId="0" borderId="3" xfId="1" applyFont="1" applyBorder="1" applyAlignment="1">
      <alignment horizontal="left" vertical="center"/>
    </xf>
    <xf numFmtId="3" fontId="24" fillId="0" borderId="3" xfId="1" applyNumberFormat="1" applyFont="1" applyBorder="1" applyAlignment="1">
      <alignment horizontal="right"/>
    </xf>
    <xf numFmtId="0" fontId="21" fillId="0" borderId="11" xfId="1" applyFont="1" applyBorder="1" applyAlignment="1">
      <alignment horizontal="right" vertical="top"/>
    </xf>
    <xf numFmtId="0" fontId="21" fillId="0" borderId="12" xfId="1" applyFont="1" applyBorder="1" applyAlignment="1">
      <alignment horizontal="right" vertical="top"/>
    </xf>
    <xf numFmtId="0" fontId="21" fillId="0" borderId="3" xfId="1" applyFont="1" applyBorder="1" applyAlignment="1">
      <alignment horizontal="right" vertical="top"/>
    </xf>
    <xf numFmtId="0" fontId="26" fillId="0" borderId="1" xfId="1" applyFont="1" applyBorder="1" applyAlignment="1">
      <alignment horizontal="right" vertical="top"/>
    </xf>
    <xf numFmtId="0" fontId="27" fillId="0" borderId="3" xfId="1" applyFont="1" applyBorder="1" applyAlignment="1">
      <alignment horizontal="left"/>
    </xf>
    <xf numFmtId="3" fontId="21" fillId="0" borderId="3" xfId="1" applyNumberFormat="1" applyFont="1" applyBorder="1" applyAlignment="1">
      <alignment horizontal="right"/>
    </xf>
    <xf numFmtId="2" fontId="26" fillId="0" borderId="3" xfId="1" applyNumberFormat="1" applyFont="1" applyBorder="1" applyAlignment="1">
      <alignment horizontal="right" vertical="center"/>
    </xf>
    <xf numFmtId="164" fontId="21" fillId="0" borderId="9" xfId="1" applyNumberFormat="1" applyFont="1" applyBorder="1"/>
    <xf numFmtId="0" fontId="21" fillId="0" borderId="13" xfId="1" applyFont="1" applyBorder="1" applyAlignment="1">
      <alignment horizontal="right" vertical="top"/>
    </xf>
    <xf numFmtId="0" fontId="26" fillId="0" borderId="3" xfId="1" applyFont="1" applyBorder="1" applyAlignment="1">
      <alignment horizontal="left" vertical="center"/>
    </xf>
    <xf numFmtId="3" fontId="28" fillId="0" borderId="3" xfId="1" applyNumberFormat="1" applyFont="1" applyBorder="1" applyAlignment="1">
      <alignment horizontal="right"/>
    </xf>
    <xf numFmtId="0" fontId="21" fillId="0" borderId="14" xfId="1" applyFont="1" applyBorder="1" applyAlignment="1">
      <alignment horizontal="right" vertical="top"/>
    </xf>
    <xf numFmtId="3" fontId="21" fillId="0" borderId="3" xfId="1" applyNumberFormat="1" applyFont="1" applyBorder="1"/>
    <xf numFmtId="0" fontId="25" fillId="0" borderId="3" xfId="1" applyFont="1" applyBorder="1" applyAlignment="1">
      <alignment vertical="center"/>
    </xf>
    <xf numFmtId="0" fontId="26" fillId="0" borderId="3" xfId="1" applyFont="1" applyBorder="1" applyAlignment="1">
      <alignment vertical="center"/>
    </xf>
    <xf numFmtId="0" fontId="26" fillId="0" borderId="1" xfId="1" quotePrefix="1" applyFont="1" applyBorder="1" applyAlignment="1">
      <alignment horizontal="right" vertical="top"/>
    </xf>
    <xf numFmtId="0" fontId="26" fillId="0" borderId="3" xfId="1" quotePrefix="1" applyFont="1" applyBorder="1" applyAlignment="1">
      <alignment horizontal="left" vertical="center"/>
    </xf>
    <xf numFmtId="3" fontId="26" fillId="0" borderId="3" xfId="1" quotePrefix="1" applyNumberFormat="1" applyFont="1" applyBorder="1" applyAlignment="1">
      <alignment vertical="center"/>
    </xf>
    <xf numFmtId="0" fontId="29" fillId="0" borderId="1" xfId="1" applyFont="1" applyBorder="1" applyAlignment="1">
      <alignment horizontal="right" vertical="top"/>
    </xf>
    <xf numFmtId="0" fontId="26" fillId="0" borderId="3" xfId="1" quotePrefix="1" applyFont="1" applyBorder="1" applyAlignment="1">
      <alignment horizontal="left" vertical="center" wrapText="1"/>
    </xf>
    <xf numFmtId="0" fontId="26" fillId="0" borderId="3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right" vertical="top"/>
    </xf>
    <xf numFmtId="0" fontId="24" fillId="0" borderId="14" xfId="1" applyFont="1" applyBorder="1" applyAlignment="1">
      <alignment horizontal="right" vertical="top"/>
    </xf>
    <xf numFmtId="0" fontId="24" fillId="0" borderId="3" xfId="1" applyFont="1" applyBorder="1" applyAlignment="1">
      <alignment wrapText="1"/>
    </xf>
    <xf numFmtId="3" fontId="24" fillId="0" borderId="3" xfId="1" applyNumberFormat="1" applyFont="1" applyBorder="1" applyAlignment="1">
      <alignment wrapText="1"/>
    </xf>
    <xf numFmtId="0" fontId="26" fillId="0" borderId="22" xfId="1" applyFont="1" applyBorder="1" applyAlignment="1">
      <alignment horizontal="right" vertical="top"/>
    </xf>
    <xf numFmtId="0" fontId="26" fillId="0" borderId="12" xfId="1" applyFont="1" applyBorder="1" applyAlignment="1">
      <alignment vertical="center" wrapText="1"/>
    </xf>
    <xf numFmtId="3" fontId="28" fillId="0" borderId="12" xfId="1" applyNumberFormat="1" applyFont="1" applyBorder="1" applyAlignment="1">
      <alignment horizontal="right"/>
    </xf>
    <xf numFmtId="0" fontId="26" fillId="0" borderId="20" xfId="1" applyFont="1" applyBorder="1" applyAlignment="1">
      <alignment horizontal="right" vertical="top"/>
    </xf>
    <xf numFmtId="0" fontId="26" fillId="0" borderId="14" xfId="1" applyFont="1" applyBorder="1" applyAlignment="1">
      <alignment vertical="center" wrapText="1"/>
    </xf>
    <xf numFmtId="3" fontId="26" fillId="0" borderId="14" xfId="1" applyNumberFormat="1" applyFont="1" applyBorder="1" applyAlignment="1">
      <alignment vertical="center" wrapText="1"/>
    </xf>
    <xf numFmtId="3" fontId="28" fillId="0" borderId="14" xfId="1" applyNumberFormat="1" applyFont="1" applyBorder="1" applyAlignment="1">
      <alignment horizontal="right"/>
    </xf>
    <xf numFmtId="0" fontId="25" fillId="0" borderId="3" xfId="1" applyFont="1" applyBorder="1" applyAlignment="1">
      <alignment vertical="center" wrapText="1"/>
    </xf>
    <xf numFmtId="3" fontId="25" fillId="0" borderId="3" xfId="1" applyNumberFormat="1" applyFont="1" applyBorder="1" applyAlignment="1">
      <alignment vertical="center" wrapText="1"/>
    </xf>
    <xf numFmtId="0" fontId="24" fillId="0" borderId="13" xfId="1" applyFont="1" applyBorder="1" applyAlignment="1">
      <alignment horizontal="right" vertical="top"/>
    </xf>
    <xf numFmtId="0" fontId="25" fillId="0" borderId="20" xfId="1" applyFont="1" applyBorder="1" applyAlignment="1">
      <alignment horizontal="right" vertical="top"/>
    </xf>
    <xf numFmtId="0" fontId="25" fillId="0" borderId="14" xfId="1" applyFont="1" applyBorder="1" applyAlignment="1">
      <alignment vertical="center" wrapText="1"/>
    </xf>
    <xf numFmtId="3" fontId="25" fillId="0" borderId="14" xfId="1" applyNumberFormat="1" applyFont="1" applyBorder="1" applyAlignment="1">
      <alignment vertical="center" wrapText="1"/>
    </xf>
    <xf numFmtId="0" fontId="26" fillId="0" borderId="3" xfId="1" applyFont="1" applyBorder="1" applyAlignment="1">
      <alignment vertical="center" wrapText="1"/>
    </xf>
    <xf numFmtId="0" fontId="24" fillId="0" borderId="4" xfId="1" applyFont="1" applyBorder="1" applyAlignment="1">
      <alignment horizontal="right"/>
    </xf>
    <xf numFmtId="0" fontId="21" fillId="0" borderId="5" xfId="1" applyFont="1" applyBorder="1" applyAlignment="1">
      <alignment horizontal="right"/>
    </xf>
    <xf numFmtId="0" fontId="25" fillId="0" borderId="5" xfId="1" applyFont="1" applyBorder="1" applyAlignment="1">
      <alignment horizontal="right"/>
    </xf>
    <xf numFmtId="0" fontId="25" fillId="0" borderId="5" xfId="1" quotePrefix="1" applyFont="1" applyBorder="1" applyAlignment="1">
      <alignment horizontal="left"/>
    </xf>
    <xf numFmtId="3" fontId="24" fillId="0" borderId="5" xfId="1" applyNumberFormat="1" applyFont="1" applyBorder="1" applyAlignment="1">
      <alignment horizontal="right"/>
    </xf>
    <xf numFmtId="2" fontId="25" fillId="0" borderId="5" xfId="1" applyNumberFormat="1" applyFont="1" applyBorder="1" applyAlignment="1">
      <alignment horizontal="right" vertical="center"/>
    </xf>
    <xf numFmtId="164" fontId="24" fillId="0" borderId="6" xfId="1" applyNumberFormat="1" applyFont="1" applyBorder="1"/>
    <xf numFmtId="0" fontId="30" fillId="0" borderId="20" xfId="1" applyFont="1" applyBorder="1" applyAlignment="1">
      <alignment horizontal="right" vertical="top"/>
    </xf>
    <xf numFmtId="0" fontId="25" fillId="0" borderId="14" xfId="1" quotePrefix="1" applyFont="1" applyBorder="1" applyAlignment="1">
      <alignment horizontal="left" vertical="center"/>
    </xf>
    <xf numFmtId="2" fontId="26" fillId="0" borderId="14" xfId="1" applyNumberFormat="1" applyFont="1" applyBorder="1" applyAlignment="1">
      <alignment horizontal="right" vertical="center"/>
    </xf>
    <xf numFmtId="3" fontId="24" fillId="0" borderId="14" xfId="1" applyNumberFormat="1" applyFont="1" applyBorder="1" applyAlignment="1">
      <alignment horizontal="right"/>
    </xf>
    <xf numFmtId="164" fontId="21" fillId="0" borderId="21" xfId="1" applyNumberFormat="1" applyFont="1" applyBorder="1"/>
    <xf numFmtId="0" fontId="25" fillId="0" borderId="3" xfId="1" quotePrefix="1" applyFont="1" applyBorder="1" applyAlignment="1">
      <alignment horizontal="left" vertical="center"/>
    </xf>
    <xf numFmtId="0" fontId="21" fillId="0" borderId="1" xfId="1" quotePrefix="1" applyFont="1" applyBorder="1" applyAlignment="1">
      <alignment horizontal="right" vertical="top"/>
    </xf>
    <xf numFmtId="3" fontId="21" fillId="0" borderId="3" xfId="1" quotePrefix="1" applyNumberFormat="1" applyFont="1" applyBorder="1" applyAlignment="1">
      <alignment horizontal="left"/>
    </xf>
    <xf numFmtId="0" fontId="32" fillId="0" borderId="1" xfId="1" quotePrefix="1" applyFont="1" applyBorder="1" applyAlignment="1">
      <alignment horizontal="right" vertical="top"/>
    </xf>
    <xf numFmtId="0" fontId="21" fillId="0" borderId="17" xfId="1" applyFont="1" applyBorder="1" applyAlignment="1">
      <alignment horizontal="right" vertical="top"/>
    </xf>
    <xf numFmtId="0" fontId="21" fillId="0" borderId="24" xfId="1" applyFont="1" applyBorder="1" applyAlignment="1">
      <alignment horizontal="right" vertical="top"/>
    </xf>
    <xf numFmtId="0" fontId="21" fillId="0" borderId="18" xfId="1" applyFont="1" applyBorder="1" applyAlignment="1">
      <alignment horizontal="right" vertical="top"/>
    </xf>
    <xf numFmtId="2" fontId="26" fillId="0" borderId="18" xfId="1" applyNumberFormat="1" applyFont="1" applyBorder="1" applyAlignment="1">
      <alignment horizontal="right" vertical="center"/>
    </xf>
    <xf numFmtId="164" fontId="21" fillId="0" borderId="19" xfId="1" applyNumberFormat="1" applyFont="1" applyBorder="1"/>
    <xf numFmtId="0" fontId="21" fillId="0" borderId="0" xfId="1" applyFont="1" applyAlignment="1">
      <alignment horizontal="right" vertical="top"/>
    </xf>
    <xf numFmtId="3" fontId="24" fillId="0" borderId="0" xfId="1" applyNumberFormat="1" applyFont="1"/>
    <xf numFmtId="0" fontId="33" fillId="0" borderId="0" xfId="1" applyFont="1" applyAlignment="1">
      <alignment horizontal="left" wrapText="1"/>
    </xf>
    <xf numFmtId="0" fontId="34" fillId="0" borderId="0" xfId="1" applyFont="1" applyAlignment="1">
      <alignment wrapText="1"/>
    </xf>
    <xf numFmtId="0" fontId="34" fillId="0" borderId="0" xfId="1" applyFont="1"/>
    <xf numFmtId="3" fontId="35" fillId="0" borderId="3" xfId="1" applyNumberFormat="1" applyFont="1" applyBorder="1"/>
    <xf numFmtId="3" fontId="20" fillId="0" borderId="3" xfId="1" applyNumberFormat="1" applyFont="1" applyBorder="1" applyAlignment="1">
      <alignment horizontal="right"/>
    </xf>
    <xf numFmtId="4" fontId="20" fillId="0" borderId="3" xfId="1" applyNumberFormat="1" applyFont="1" applyBorder="1" applyAlignment="1">
      <alignment horizontal="right"/>
    </xf>
    <xf numFmtId="3" fontId="20" fillId="0" borderId="1" xfId="1" applyNumberFormat="1" applyFont="1" applyBorder="1" applyAlignment="1">
      <alignment horizontal="right"/>
    </xf>
    <xf numFmtId="3" fontId="35" fillId="0" borderId="3" xfId="1" applyNumberFormat="1" applyFont="1" applyBorder="1" applyAlignment="1">
      <alignment wrapText="1"/>
    </xf>
    <xf numFmtId="3" fontId="20" fillId="0" borderId="3" xfId="1" applyNumberFormat="1" applyFont="1" applyBorder="1" applyAlignment="1">
      <alignment horizontal="right" wrapText="1"/>
    </xf>
    <xf numFmtId="3" fontId="20" fillId="0" borderId="1" xfId="1" applyNumberFormat="1" applyFont="1" applyBorder="1" applyAlignment="1">
      <alignment horizontal="right" wrapText="1"/>
    </xf>
    <xf numFmtId="0" fontId="20" fillId="0" borderId="0" xfId="1" quotePrefix="1" applyFont="1" applyAlignment="1">
      <alignment horizontal="left" wrapText="1"/>
    </xf>
    <xf numFmtId="0" fontId="37" fillId="0" borderId="0" xfId="1" applyFont="1" applyAlignment="1">
      <alignment wrapText="1"/>
    </xf>
    <xf numFmtId="0" fontId="37" fillId="0" borderId="0" xfId="1" applyFont="1"/>
    <xf numFmtId="0" fontId="20" fillId="0" borderId="0" xfId="1" applyFont="1" applyAlignment="1">
      <alignment horizontal="left" wrapText="1"/>
    </xf>
    <xf numFmtId="3" fontId="20" fillId="0" borderId="0" xfId="1" applyNumberFormat="1" applyFont="1" applyAlignment="1">
      <alignment horizontal="right" vertical="center"/>
    </xf>
    <xf numFmtId="0" fontId="36" fillId="0" borderId="3" xfId="1" applyFont="1" applyBorder="1" applyAlignment="1">
      <alignment wrapText="1"/>
    </xf>
    <xf numFmtId="0" fontId="20" fillId="0" borderId="2" xfId="1" applyFont="1" applyBorder="1" applyAlignment="1">
      <alignment wrapText="1"/>
    </xf>
    <xf numFmtId="0" fontId="37" fillId="0" borderId="2" xfId="1" applyFont="1" applyBorder="1" applyAlignment="1">
      <alignment horizontal="center" wrapText="1"/>
    </xf>
    <xf numFmtId="3" fontId="20" fillId="0" borderId="2" xfId="1" applyNumberFormat="1" applyFont="1" applyBorder="1" applyAlignment="1">
      <alignment wrapText="1"/>
    </xf>
    <xf numFmtId="4" fontId="20" fillId="0" borderId="1" xfId="1" applyNumberFormat="1" applyFont="1" applyBorder="1" applyAlignment="1">
      <alignment horizontal="right"/>
    </xf>
    <xf numFmtId="0" fontId="33" fillId="0" borderId="0" xfId="1" quotePrefix="1" applyFont="1" applyAlignment="1">
      <alignment horizontal="left" wrapText="1"/>
    </xf>
    <xf numFmtId="0" fontId="21" fillId="0" borderId="0" xfId="1" applyFont="1" applyAlignment="1">
      <alignment horizontal="center"/>
    </xf>
    <xf numFmtId="0" fontId="33" fillId="0" borderId="0" xfId="1" applyFont="1" applyAlignment="1">
      <alignment horizontal="center" vertical="center" wrapText="1"/>
    </xf>
    <xf numFmtId="0" fontId="25" fillId="0" borderId="4" xfId="1" quotePrefix="1" applyFont="1" applyBorder="1" applyAlignment="1">
      <alignment horizontal="left" vertical="center" wrapText="1"/>
    </xf>
    <xf numFmtId="0" fontId="25" fillId="0" borderId="5" xfId="1" quotePrefix="1" applyFont="1" applyBorder="1" applyAlignment="1">
      <alignment horizontal="left" vertical="center" wrapText="1"/>
    </xf>
    <xf numFmtId="0" fontId="25" fillId="0" borderId="5" xfId="1" quotePrefix="1" applyFont="1" applyBorder="1" applyAlignment="1">
      <alignment horizontal="center" vertical="center" wrapText="1"/>
    </xf>
    <xf numFmtId="2" fontId="24" fillId="0" borderId="3" xfId="1" applyNumberFormat="1" applyFont="1" applyBorder="1" applyAlignment="1">
      <alignment wrapText="1"/>
    </xf>
    <xf numFmtId="164" fontId="24" fillId="0" borderId="28" xfId="1" applyNumberFormat="1" applyFont="1" applyBorder="1"/>
    <xf numFmtId="0" fontId="21" fillId="0" borderId="10" xfId="1" applyFont="1" applyBorder="1" applyAlignment="1">
      <alignment vertical="center" wrapText="1"/>
    </xf>
    <xf numFmtId="0" fontId="24" fillId="0" borderId="3" xfId="1" applyFont="1" applyBorder="1" applyAlignment="1">
      <alignment vertical="top" wrapText="1"/>
    </xf>
    <xf numFmtId="0" fontId="21" fillId="0" borderId="3" xfId="1" applyFont="1" applyBorder="1" applyAlignment="1">
      <alignment vertical="center" wrapText="1"/>
    </xf>
    <xf numFmtId="0" fontId="21" fillId="0" borderId="3" xfId="1" applyFont="1" applyBorder="1" applyAlignment="1">
      <alignment horizontal="center" vertical="center" wrapText="1"/>
    </xf>
    <xf numFmtId="2" fontId="21" fillId="0" borderId="3" xfId="1" applyNumberFormat="1" applyFont="1" applyBorder="1" applyAlignment="1">
      <alignment wrapText="1"/>
    </xf>
    <xf numFmtId="164" fontId="24" fillId="0" borderId="3" xfId="1" applyNumberFormat="1" applyFont="1" applyBorder="1"/>
    <xf numFmtId="2" fontId="31" fillId="0" borderId="28" xfId="1" applyNumberFormat="1" applyFont="1" applyBorder="1"/>
    <xf numFmtId="0" fontId="21" fillId="0" borderId="11" xfId="1" applyFont="1" applyBorder="1" applyAlignment="1">
      <alignment vertical="center" wrapText="1"/>
    </xf>
    <xf numFmtId="0" fontId="24" fillId="0" borderId="12" xfId="1" applyFont="1" applyBorder="1" applyAlignment="1">
      <alignment vertical="top" wrapText="1"/>
    </xf>
    <xf numFmtId="0" fontId="21" fillId="0" borderId="3" xfId="1" applyFont="1" applyBorder="1" applyAlignment="1">
      <alignment wrapText="1"/>
    </xf>
    <xf numFmtId="3" fontId="21" fillId="0" borderId="3" xfId="1" applyNumberFormat="1" applyFont="1" applyBorder="1" applyAlignment="1">
      <alignment horizontal="right" wrapText="1"/>
    </xf>
    <xf numFmtId="164" fontId="21" fillId="0" borderId="3" xfId="1" applyNumberFormat="1" applyFont="1" applyBorder="1"/>
    <xf numFmtId="164" fontId="21" fillId="0" borderId="28" xfId="1" applyNumberFormat="1" applyFont="1" applyBorder="1"/>
    <xf numFmtId="0" fontId="21" fillId="0" borderId="12" xfId="1" applyFont="1" applyBorder="1" applyAlignment="1">
      <alignment vertical="center" wrapText="1"/>
    </xf>
    <xf numFmtId="0" fontId="21" fillId="0" borderId="3" xfId="1" applyFont="1" applyBorder="1" applyAlignment="1">
      <alignment horizontal="left" wrapText="1"/>
    </xf>
    <xf numFmtId="0" fontId="21" fillId="0" borderId="11" xfId="1" applyFont="1" applyBorder="1" applyAlignment="1">
      <alignment wrapText="1"/>
    </xf>
    <xf numFmtId="0" fontId="21" fillId="0" borderId="14" xfId="1" applyFont="1" applyBorder="1" applyAlignment="1">
      <alignment wrapText="1"/>
    </xf>
    <xf numFmtId="0" fontId="21" fillId="0" borderId="3" xfId="1" applyFont="1" applyBorder="1" applyAlignment="1">
      <alignment horizontal="center" wrapText="1"/>
    </xf>
    <xf numFmtId="0" fontId="24" fillId="0" borderId="3" xfId="1" applyFont="1" applyBorder="1" applyAlignment="1">
      <alignment vertical="center" wrapText="1"/>
    </xf>
    <xf numFmtId="0" fontId="24" fillId="0" borderId="3" xfId="1" applyFont="1" applyBorder="1" applyAlignment="1">
      <alignment horizontal="left" wrapText="1"/>
    </xf>
    <xf numFmtId="3" fontId="24" fillId="0" borderId="3" xfId="1" applyNumberFormat="1" applyFont="1" applyBorder="1" applyAlignment="1">
      <alignment horizontal="right" wrapText="1"/>
    </xf>
    <xf numFmtId="0" fontId="21" fillId="0" borderId="13" xfId="1" applyFont="1" applyBorder="1" applyAlignment="1">
      <alignment vertical="center" wrapText="1"/>
    </xf>
    <xf numFmtId="0" fontId="21" fillId="0" borderId="14" xfId="1" applyFont="1" applyBorder="1" applyAlignment="1">
      <alignment vertical="center" wrapText="1"/>
    </xf>
    <xf numFmtId="0" fontId="21" fillId="0" borderId="3" xfId="1" applyFont="1" applyBorder="1" applyAlignment="1">
      <alignment horizontal="center" vertical="top" wrapText="1"/>
    </xf>
    <xf numFmtId="3" fontId="28" fillId="0" borderId="3" xfId="1" applyNumberFormat="1" applyFont="1" applyBorder="1" applyAlignment="1">
      <alignment horizontal="right" wrapText="1"/>
    </xf>
    <xf numFmtId="0" fontId="24" fillId="0" borderId="3" xfId="1" applyFont="1" applyBorder="1" applyAlignment="1">
      <alignment vertical="top"/>
    </xf>
    <xf numFmtId="0" fontId="31" fillId="0" borderId="3" xfId="1" applyFont="1" applyBorder="1" applyAlignment="1">
      <alignment wrapText="1"/>
    </xf>
    <xf numFmtId="0" fontId="24" fillId="0" borderId="12" xfId="1" applyFont="1" applyBorder="1" applyAlignment="1">
      <alignment vertical="top"/>
    </xf>
    <xf numFmtId="0" fontId="28" fillId="0" borderId="3" xfId="1" applyFont="1" applyBorder="1" applyAlignment="1">
      <alignment wrapText="1"/>
    </xf>
    <xf numFmtId="0" fontId="24" fillId="0" borderId="13" xfId="1" applyFont="1" applyBorder="1" applyAlignment="1">
      <alignment vertical="top"/>
    </xf>
    <xf numFmtId="0" fontId="21" fillId="0" borderId="15" xfId="1" applyFont="1" applyBorder="1" applyAlignment="1">
      <alignment vertical="center" wrapText="1"/>
    </xf>
    <xf numFmtId="0" fontId="24" fillId="0" borderId="16" xfId="1" applyFont="1" applyBorder="1" applyAlignment="1">
      <alignment horizontal="right" wrapText="1"/>
    </xf>
    <xf numFmtId="0" fontId="24" fillId="0" borderId="3" xfId="1" applyFont="1" applyBorder="1" applyAlignment="1">
      <alignment horizontal="right" wrapText="1"/>
    </xf>
    <xf numFmtId="0" fontId="24" fillId="0" borderId="3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right" wrapText="1"/>
    </xf>
    <xf numFmtId="0" fontId="21" fillId="0" borderId="11" xfId="1" applyFont="1" applyBorder="1" applyAlignment="1">
      <alignment horizontal="right" wrapText="1"/>
    </xf>
    <xf numFmtId="0" fontId="24" fillId="0" borderId="12" xfId="1" applyFont="1" applyBorder="1" applyAlignment="1">
      <alignment horizontal="right" wrapText="1"/>
    </xf>
    <xf numFmtId="0" fontId="21" fillId="0" borderId="12" xfId="1" applyFont="1" applyBorder="1" applyAlignment="1">
      <alignment horizontal="center" vertical="center" wrapText="1"/>
    </xf>
    <xf numFmtId="0" fontId="21" fillId="0" borderId="12" xfId="1" applyFont="1" applyBorder="1" applyAlignment="1">
      <alignment wrapText="1"/>
    </xf>
    <xf numFmtId="3" fontId="21" fillId="0" borderId="12" xfId="1" applyNumberFormat="1" applyFont="1" applyBorder="1" applyAlignment="1">
      <alignment horizontal="right" wrapText="1"/>
    </xf>
    <xf numFmtId="0" fontId="21" fillId="0" borderId="17" xfId="1" applyFont="1" applyBorder="1" applyAlignment="1">
      <alignment horizontal="right" wrapText="1"/>
    </xf>
    <xf numFmtId="0" fontId="21" fillId="0" borderId="18" xfId="1" applyFont="1" applyBorder="1" applyAlignment="1">
      <alignment horizontal="right" wrapText="1"/>
    </xf>
    <xf numFmtId="0" fontId="21" fillId="0" borderId="18" xfId="1" applyFont="1" applyBorder="1" applyAlignment="1">
      <alignment vertical="center" wrapText="1"/>
    </xf>
    <xf numFmtId="0" fontId="21" fillId="0" borderId="18" xfId="1" applyFont="1" applyBorder="1" applyAlignment="1">
      <alignment horizontal="center" vertical="center" wrapText="1"/>
    </xf>
    <xf numFmtId="0" fontId="21" fillId="0" borderId="18" xfId="1" applyFont="1" applyBorder="1" applyAlignment="1">
      <alignment wrapText="1"/>
    </xf>
    <xf numFmtId="2" fontId="21" fillId="0" borderId="18" xfId="1" applyNumberFormat="1" applyFont="1" applyBorder="1" applyAlignment="1">
      <alignment wrapText="1"/>
    </xf>
    <xf numFmtId="3" fontId="21" fillId="0" borderId="18" xfId="1" applyNumberFormat="1" applyFont="1" applyBorder="1" applyAlignment="1">
      <alignment horizontal="right" wrapText="1"/>
    </xf>
    <xf numFmtId="164" fontId="21" fillId="0" borderId="18" xfId="1" applyNumberFormat="1" applyFont="1" applyBorder="1"/>
    <xf numFmtId="164" fontId="21" fillId="0" borderId="29" xfId="1" applyNumberFormat="1" applyFont="1" applyBorder="1"/>
    <xf numFmtId="0" fontId="21" fillId="0" borderId="0" xfId="1" applyFont="1" applyAlignment="1">
      <alignment horizontal="right" wrapText="1"/>
    </xf>
    <xf numFmtId="0" fontId="21" fillId="0" borderId="0" xfId="1" applyFont="1" applyAlignment="1">
      <alignment vertical="center" wrapText="1"/>
    </xf>
    <xf numFmtId="0" fontId="21" fillId="0" borderId="0" xfId="1" applyFont="1" applyAlignment="1">
      <alignment horizontal="center" vertical="center" wrapText="1"/>
    </xf>
    <xf numFmtId="0" fontId="21" fillId="0" borderId="0" xfId="1" applyFont="1" applyAlignment="1">
      <alignment wrapText="1"/>
    </xf>
    <xf numFmtId="3" fontId="21" fillId="0" borderId="0" xfId="1" applyNumberFormat="1" applyFont="1" applyAlignment="1">
      <alignment horizontal="right" wrapText="1"/>
    </xf>
    <xf numFmtId="0" fontId="21" fillId="0" borderId="0" xfId="1" applyFont="1" applyAlignment="1">
      <alignment horizontal="right"/>
    </xf>
    <xf numFmtId="0" fontId="21" fillId="0" borderId="0" xfId="1" applyFont="1" applyAlignment="1">
      <alignment horizontal="left" vertical="center" wrapText="1"/>
    </xf>
    <xf numFmtId="0" fontId="20" fillId="0" borderId="0" xfId="1" quotePrefix="1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39" fillId="0" borderId="0" xfId="1" quotePrefix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5" fillId="0" borderId="0" xfId="1" applyFont="1" applyAlignment="1">
      <alignment horizontal="center" vertical="center"/>
    </xf>
    <xf numFmtId="0" fontId="26" fillId="0" borderId="0" xfId="1" quotePrefix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26" fillId="0" borderId="0" xfId="1" quotePrefix="1" applyFont="1" applyAlignment="1">
      <alignment horizontal="left" vertical="center"/>
    </xf>
    <xf numFmtId="0" fontId="25" fillId="0" borderId="0" xfId="1" applyFont="1" applyAlignment="1">
      <alignment vertical="center"/>
    </xf>
    <xf numFmtId="0" fontId="25" fillId="0" borderId="0" xfId="1" quotePrefix="1" applyFont="1" applyAlignment="1">
      <alignment horizontal="left" vertical="center"/>
    </xf>
    <xf numFmtId="0" fontId="26" fillId="0" borderId="0" xfId="1" quotePrefix="1" applyFont="1" applyAlignment="1">
      <alignment horizontal="left" vertical="center" wrapText="1"/>
    </xf>
    <xf numFmtId="0" fontId="26" fillId="0" borderId="0" xfId="1" applyFont="1" applyAlignment="1">
      <alignment horizontal="center" vertical="center"/>
    </xf>
    <xf numFmtId="0" fontId="29" fillId="0" borderId="0" xfId="1" quotePrefix="1" applyFont="1" applyAlignment="1">
      <alignment horizontal="center" vertical="center"/>
    </xf>
    <xf numFmtId="0" fontId="29" fillId="0" borderId="0" xfId="1" quotePrefix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5" fillId="0" borderId="0" xfId="1" quotePrefix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2" fillId="0" borderId="0" xfId="1" quotePrefix="1" applyFont="1" applyAlignment="1">
      <alignment horizontal="center" vertical="center"/>
    </xf>
    <xf numFmtId="3" fontId="32" fillId="0" borderId="0" xfId="1" applyNumberFormat="1" applyFont="1"/>
    <xf numFmtId="0" fontId="25" fillId="0" borderId="0" xfId="1" quotePrefix="1" applyFont="1" applyAlignment="1">
      <alignment horizontal="center" vertical="center" wrapText="1"/>
    </xf>
    <xf numFmtId="0" fontId="24" fillId="0" borderId="0" xfId="1" quotePrefix="1" applyFont="1" applyAlignment="1">
      <alignment horizontal="left" vertical="center"/>
    </xf>
    <xf numFmtId="0" fontId="21" fillId="0" borderId="0" xfId="1" quotePrefix="1" applyFont="1" applyAlignment="1">
      <alignment horizontal="center" vertical="center"/>
    </xf>
    <xf numFmtId="3" fontId="21" fillId="0" borderId="0" xfId="1" quotePrefix="1" applyNumberFormat="1" applyFont="1" applyAlignment="1">
      <alignment horizontal="left"/>
    </xf>
    <xf numFmtId="3" fontId="24" fillId="0" borderId="0" xfId="1" quotePrefix="1" applyNumberFormat="1" applyFont="1" applyAlignment="1">
      <alignment horizontal="left"/>
    </xf>
    <xf numFmtId="3" fontId="21" fillId="0" borderId="0" xfId="1" applyNumberFormat="1" applyFont="1"/>
    <xf numFmtId="3" fontId="24" fillId="0" borderId="0" xfId="1" quotePrefix="1" applyNumberFormat="1" applyFont="1" applyAlignment="1">
      <alignment horizontal="left" wrapText="1"/>
    </xf>
    <xf numFmtId="3" fontId="21" fillId="0" borderId="0" xfId="1" applyNumberFormat="1" applyFont="1" applyAlignment="1">
      <alignment horizontal="left"/>
    </xf>
    <xf numFmtId="0" fontId="21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0" borderId="0" xfId="1" quotePrefix="1" applyFont="1" applyAlignment="1">
      <alignment horizontal="left"/>
    </xf>
    <xf numFmtId="0" fontId="34" fillId="0" borderId="0" xfId="1" applyFont="1" applyAlignment="1">
      <alignment horizontal="center" vertical="center" wrapText="1"/>
    </xf>
    <xf numFmtId="0" fontId="25" fillId="0" borderId="7" xfId="1" quotePrefix="1" applyFont="1" applyBorder="1" applyAlignment="1">
      <alignment horizontal="center" vertical="center" wrapText="1"/>
    </xf>
    <xf numFmtId="0" fontId="25" fillId="0" borderId="8" xfId="1" quotePrefix="1" applyFont="1" applyBorder="1" applyAlignment="1">
      <alignment horizontal="center" vertical="center" wrapText="1"/>
    </xf>
    <xf numFmtId="0" fontId="24" fillId="0" borderId="8" xfId="1" quotePrefix="1" applyFont="1" applyBorder="1" applyAlignment="1">
      <alignment horizontal="left"/>
    </xf>
    <xf numFmtId="0" fontId="24" fillId="0" borderId="2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right"/>
    </xf>
    <xf numFmtId="0" fontId="24" fillId="0" borderId="3" xfId="1" applyFont="1" applyBorder="1" applyAlignment="1">
      <alignment horizontal="right"/>
    </xf>
    <xf numFmtId="0" fontId="20" fillId="0" borderId="3" xfId="1" applyFont="1" applyBorder="1" applyAlignment="1">
      <alignment horizontal="left"/>
    </xf>
    <xf numFmtId="3" fontId="24" fillId="0" borderId="9" xfId="1" applyNumberFormat="1" applyFont="1" applyBorder="1" applyAlignment="1">
      <alignment horizontal="right"/>
    </xf>
    <xf numFmtId="0" fontId="24" fillId="0" borderId="16" xfId="1" applyFont="1" applyBorder="1" applyAlignment="1">
      <alignment horizontal="right"/>
    </xf>
    <xf numFmtId="0" fontId="24" fillId="0" borderId="3" xfId="1" quotePrefix="1" applyFont="1" applyBorder="1" applyAlignment="1">
      <alignment horizontal="left" wrapText="1"/>
    </xf>
    <xf numFmtId="1" fontId="24" fillId="0" borderId="3" xfId="1" quotePrefix="1" applyNumberFormat="1" applyFont="1" applyBorder="1" applyAlignment="1">
      <alignment horizontal="right" wrapText="1"/>
    </xf>
    <xf numFmtId="0" fontId="24" fillId="0" borderId="10" xfId="1" applyFont="1" applyBorder="1" applyAlignment="1">
      <alignment horizontal="right"/>
    </xf>
    <xf numFmtId="1" fontId="24" fillId="0" borderId="3" xfId="1" applyNumberFormat="1" applyFont="1" applyBorder="1" applyAlignment="1">
      <alignment horizontal="right" wrapText="1"/>
    </xf>
    <xf numFmtId="0" fontId="21" fillId="0" borderId="11" xfId="1" applyFont="1" applyBorder="1" applyAlignment="1">
      <alignment horizontal="right"/>
    </xf>
    <xf numFmtId="0" fontId="21" fillId="0" borderId="12" xfId="1" applyFont="1" applyBorder="1" applyAlignment="1">
      <alignment horizontal="right"/>
    </xf>
    <xf numFmtId="1" fontId="21" fillId="0" borderId="3" xfId="1" applyNumberFormat="1" applyFont="1" applyBorder="1" applyAlignment="1">
      <alignment horizontal="right" wrapText="1"/>
    </xf>
    <xf numFmtId="3" fontId="40" fillId="0" borderId="9" xfId="1" applyNumberFormat="1" applyFont="1" applyBorder="1" applyAlignment="1">
      <alignment horizontal="right"/>
    </xf>
    <xf numFmtId="0" fontId="21" fillId="0" borderId="13" xfId="1" applyFont="1" applyBorder="1" applyAlignment="1">
      <alignment horizontal="right"/>
    </xf>
    <xf numFmtId="0" fontId="24" fillId="0" borderId="14" xfId="1" applyFont="1" applyBorder="1" applyAlignment="1">
      <alignment horizontal="right"/>
    </xf>
    <xf numFmtId="3" fontId="21" fillId="0" borderId="9" xfId="1" applyNumberFormat="1" applyFont="1" applyBorder="1" applyAlignment="1">
      <alignment horizontal="right"/>
    </xf>
    <xf numFmtId="0" fontId="21" fillId="0" borderId="10" xfId="1" applyFont="1" applyBorder="1" applyAlignment="1">
      <alignment horizontal="right"/>
    </xf>
    <xf numFmtId="0" fontId="21" fillId="0" borderId="15" xfId="1" applyFont="1" applyBorder="1" applyAlignment="1">
      <alignment horizontal="right"/>
    </xf>
    <xf numFmtId="0" fontId="21" fillId="0" borderId="16" xfId="1" applyFont="1" applyBorder="1" applyAlignment="1">
      <alignment horizontal="right"/>
    </xf>
    <xf numFmtId="0" fontId="21" fillId="0" borderId="11" xfId="1" applyFont="1" applyBorder="1"/>
    <xf numFmtId="0" fontId="21" fillId="0" borderId="13" xfId="1" applyFont="1" applyBorder="1"/>
    <xf numFmtId="3" fontId="24" fillId="0" borderId="3" xfId="1" applyNumberFormat="1" applyFont="1" applyBorder="1" applyAlignment="1">
      <alignment horizontal="right" vertical="top"/>
    </xf>
    <xf numFmtId="0" fontId="41" fillId="0" borderId="9" xfId="1" applyFont="1" applyBorder="1"/>
    <xf numFmtId="0" fontId="41" fillId="0" borderId="17" xfId="1" applyFont="1" applyBorder="1"/>
    <xf numFmtId="0" fontId="41" fillId="0" borderId="24" xfId="1" applyFont="1" applyBorder="1"/>
    <xf numFmtId="0" fontId="41" fillId="0" borderId="18" xfId="1" applyFont="1" applyBorder="1"/>
    <xf numFmtId="0" fontId="41" fillId="0" borderId="18" xfId="1" applyFont="1" applyBorder="1" applyAlignment="1">
      <alignment horizontal="center"/>
    </xf>
    <xf numFmtId="0" fontId="41" fillId="0" borderId="18" xfId="1" applyFont="1" applyBorder="1" applyAlignment="1">
      <alignment horizontal="left"/>
    </xf>
    <xf numFmtId="1" fontId="41" fillId="0" borderId="18" xfId="1" applyNumberFormat="1" applyFont="1" applyBorder="1" applyAlignment="1">
      <alignment horizontal="right"/>
    </xf>
    <xf numFmtId="3" fontId="41" fillId="0" borderId="18" xfId="1" applyNumberFormat="1" applyFont="1" applyBorder="1"/>
    <xf numFmtId="0" fontId="41" fillId="0" borderId="19" xfId="1" applyFont="1" applyBorder="1"/>
    <xf numFmtId="0" fontId="26" fillId="0" borderId="18" xfId="1" applyFont="1" applyBorder="1" applyAlignment="1">
      <alignment vertical="center"/>
    </xf>
    <xf numFmtId="3" fontId="28" fillId="0" borderId="18" xfId="1" applyNumberFormat="1" applyFont="1" applyBorder="1" applyAlignment="1">
      <alignment horizontal="right"/>
    </xf>
    <xf numFmtId="1" fontId="24" fillId="0" borderId="3" xfId="1" applyNumberFormat="1" applyFont="1" applyBorder="1" applyAlignment="1">
      <alignment horizontal="right"/>
    </xf>
    <xf numFmtId="2" fontId="26" fillId="0" borderId="0" xfId="1" applyNumberFormat="1" applyFont="1" applyAlignment="1">
      <alignment horizontal="right" vertical="center"/>
    </xf>
    <xf numFmtId="164" fontId="21" fillId="0" borderId="0" xfId="1" applyNumberFormat="1" applyFont="1"/>
    <xf numFmtId="2" fontId="26" fillId="0" borderId="12" xfId="1" applyNumberFormat="1" applyFont="1" applyBorder="1" applyAlignment="1">
      <alignment horizontal="right" vertical="center"/>
    </xf>
    <xf numFmtId="164" fontId="21" fillId="0" borderId="30" xfId="1" applyNumberFormat="1" applyFont="1" applyBorder="1"/>
    <xf numFmtId="0" fontId="37" fillId="0" borderId="2" xfId="1" applyFont="1" applyBorder="1" applyAlignment="1">
      <alignment wrapText="1"/>
    </xf>
    <xf numFmtId="0" fontId="24" fillId="0" borderId="32" xfId="1" applyFont="1" applyBorder="1" applyAlignment="1">
      <alignment horizontal="center" vertical="center" wrapText="1"/>
    </xf>
    <xf numFmtId="3" fontId="24" fillId="0" borderId="33" xfId="1" applyNumberFormat="1" applyFont="1" applyBorder="1" applyAlignment="1">
      <alignment horizontal="right"/>
    </xf>
    <xf numFmtId="3" fontId="40" fillId="0" borderId="33" xfId="1" applyNumberFormat="1" applyFont="1" applyBorder="1" applyAlignment="1">
      <alignment horizontal="right"/>
    </xf>
    <xf numFmtId="3" fontId="21" fillId="0" borderId="33" xfId="1" applyNumberFormat="1" applyFont="1" applyBorder="1" applyAlignment="1">
      <alignment horizontal="right"/>
    </xf>
    <xf numFmtId="0" fontId="24" fillId="0" borderId="33" xfId="1" applyFont="1" applyBorder="1" applyAlignment="1">
      <alignment horizontal="right" vertical="top"/>
    </xf>
    <xf numFmtId="0" fontId="41" fillId="0" borderId="34" xfId="1" applyFont="1" applyBorder="1"/>
    <xf numFmtId="3" fontId="24" fillId="0" borderId="9" xfId="1" applyNumberFormat="1" applyFont="1" applyBorder="1" applyAlignment="1">
      <alignment horizontal="right" vertical="top"/>
    </xf>
    <xf numFmtId="3" fontId="41" fillId="0" borderId="19" xfId="1" applyNumberFormat="1" applyFont="1" applyBorder="1"/>
    <xf numFmtId="4" fontId="24" fillId="0" borderId="0" xfId="1" applyNumberFormat="1" applyFont="1"/>
    <xf numFmtId="0" fontId="20" fillId="0" borderId="35" xfId="1" quotePrefix="1" applyFont="1" applyBorder="1" applyAlignment="1">
      <alignment horizontal="left" wrapText="1"/>
    </xf>
    <xf numFmtId="0" fontId="20" fillId="0" borderId="36" xfId="1" quotePrefix="1" applyFont="1" applyBorder="1" applyAlignment="1">
      <alignment horizontal="left" wrapText="1"/>
    </xf>
    <xf numFmtId="0" fontId="20" fillId="0" borderId="36" xfId="1" quotePrefix="1" applyFont="1" applyBorder="1" applyAlignment="1">
      <alignment horizontal="center" wrapText="1"/>
    </xf>
    <xf numFmtId="0" fontId="20" fillId="0" borderId="36" xfId="1" quotePrefix="1" applyFont="1" applyBorder="1" applyAlignment="1">
      <alignment horizontal="left"/>
    </xf>
    <xf numFmtId="0" fontId="20" fillId="0" borderId="8" xfId="1" applyFont="1" applyBorder="1" applyAlignment="1">
      <alignment horizontal="center" vertical="center" wrapText="1"/>
    </xf>
    <xf numFmtId="0" fontId="20" fillId="0" borderId="37" xfId="1" applyFont="1" applyBorder="1" applyAlignment="1">
      <alignment horizontal="center" vertical="center" wrapText="1"/>
    </xf>
    <xf numFmtId="4" fontId="20" fillId="0" borderId="9" xfId="1" applyNumberFormat="1" applyFont="1" applyBorder="1"/>
    <xf numFmtId="3" fontId="20" fillId="0" borderId="18" xfId="1" applyNumberFormat="1" applyFont="1" applyBorder="1" applyAlignment="1">
      <alignment horizontal="right" wrapText="1"/>
    </xf>
    <xf numFmtId="4" fontId="20" fillId="0" borderId="18" xfId="1" applyNumberFormat="1" applyFont="1" applyBorder="1" applyAlignment="1">
      <alignment horizontal="right"/>
    </xf>
    <xf numFmtId="3" fontId="20" fillId="0" borderId="23" xfId="1" applyNumberFormat="1" applyFont="1" applyBorder="1" applyAlignment="1">
      <alignment horizontal="right" wrapText="1"/>
    </xf>
    <xf numFmtId="4" fontId="20" fillId="0" borderId="19" xfId="1" applyNumberFormat="1" applyFont="1" applyBorder="1"/>
    <xf numFmtId="3" fontId="20" fillId="0" borderId="18" xfId="1" applyNumberFormat="1" applyFont="1" applyBorder="1" applyAlignment="1">
      <alignment horizontal="right"/>
    </xf>
    <xf numFmtId="3" fontId="20" fillId="0" borderId="23" xfId="1" applyNumberFormat="1" applyFont="1" applyBorder="1" applyAlignment="1">
      <alignment horizontal="right"/>
    </xf>
    <xf numFmtId="0" fontId="24" fillId="0" borderId="8" xfId="1" quotePrefix="1" applyFont="1" applyBorder="1" applyAlignment="1">
      <alignment horizontal="center" vertical="center" wrapText="1"/>
    </xf>
    <xf numFmtId="3" fontId="35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0" fontId="20" fillId="0" borderId="38" xfId="1" quotePrefix="1" applyFont="1" applyBorder="1" applyAlignment="1">
      <alignment horizontal="left"/>
    </xf>
    <xf numFmtId="0" fontId="36" fillId="0" borderId="14" xfId="1" applyFont="1" applyBorder="1" applyAlignment="1">
      <alignment wrapText="1"/>
    </xf>
    <xf numFmtId="0" fontId="33" fillId="0" borderId="0" xfId="1" quotePrefix="1" applyFont="1" applyAlignment="1">
      <alignment horizontal="center" vertical="center" wrapText="1"/>
    </xf>
    <xf numFmtId="0" fontId="20" fillId="0" borderId="25" xfId="1" applyFont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2" borderId="9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9" fillId="2" borderId="9" xfId="0" applyNumberFormat="1" applyFont="1" applyFill="1" applyBorder="1" applyAlignment="1">
      <alignment horizontal="right"/>
    </xf>
    <xf numFmtId="3" fontId="44" fillId="2" borderId="3" xfId="0" applyNumberFormat="1" applyFont="1" applyFill="1" applyBorder="1" applyAlignment="1">
      <alignment horizontal="right"/>
    </xf>
    <xf numFmtId="3" fontId="44" fillId="0" borderId="3" xfId="0" applyNumberFormat="1" applyFont="1" applyBorder="1" applyAlignment="1">
      <alignment horizontal="right"/>
    </xf>
    <xf numFmtId="3" fontId="44" fillId="2" borderId="9" xfId="0" applyNumberFormat="1" applyFont="1" applyFill="1" applyBorder="1" applyAlignment="1">
      <alignment horizontal="right"/>
    </xf>
    <xf numFmtId="3" fontId="11" fillId="2" borderId="16" xfId="0" applyNumberFormat="1" applyFont="1" applyFill="1" applyBorder="1" applyAlignment="1">
      <alignment horizontal="right"/>
    </xf>
    <xf numFmtId="3" fontId="9" fillId="0" borderId="18" xfId="0" applyNumberFormat="1" applyFont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3" fontId="44" fillId="2" borderId="12" xfId="0" applyNumberFormat="1" applyFont="1" applyFill="1" applyBorder="1" applyAlignment="1">
      <alignment horizontal="right"/>
    </xf>
    <xf numFmtId="3" fontId="44" fillId="2" borderId="30" xfId="0" applyNumberFormat="1" applyFont="1" applyFill="1" applyBorder="1" applyAlignment="1">
      <alignment horizontal="right"/>
    </xf>
    <xf numFmtId="3" fontId="44" fillId="2" borderId="13" xfId="0" applyNumberFormat="1" applyFont="1" applyFill="1" applyBorder="1" applyAlignment="1">
      <alignment horizontal="right"/>
    </xf>
    <xf numFmtId="3" fontId="44" fillId="2" borderId="41" xfId="0" applyNumberFormat="1" applyFont="1" applyFill="1" applyBorder="1" applyAlignment="1">
      <alignment horizontal="right"/>
    </xf>
    <xf numFmtId="3" fontId="13" fillId="2" borderId="3" xfId="0" applyNumberFormat="1" applyFont="1" applyFill="1" applyBorder="1" applyAlignment="1">
      <alignment horizontal="right"/>
    </xf>
    <xf numFmtId="3" fontId="13" fillId="2" borderId="9" xfId="0" applyNumberFormat="1" applyFont="1" applyFill="1" applyBorder="1" applyAlignment="1">
      <alignment horizontal="right"/>
    </xf>
    <xf numFmtId="3" fontId="44" fillId="2" borderId="10" xfId="0" applyNumberFormat="1" applyFont="1" applyFill="1" applyBorder="1" applyAlignment="1">
      <alignment horizontal="right"/>
    </xf>
    <xf numFmtId="3" fontId="3" fillId="2" borderId="14" xfId="0" applyNumberFormat="1" applyFont="1" applyFill="1" applyBorder="1" applyAlignment="1">
      <alignment horizontal="right"/>
    </xf>
    <xf numFmtId="3" fontId="9" fillId="2" borderId="9" xfId="0" applyNumberFormat="1" applyFont="1" applyFill="1" applyBorder="1"/>
    <xf numFmtId="0" fontId="2" fillId="0" borderId="0" xfId="0" applyFont="1"/>
    <xf numFmtId="3" fontId="4" fillId="0" borderId="0" xfId="0" applyNumberFormat="1" applyFont="1"/>
    <xf numFmtId="3" fontId="3" fillId="2" borderId="16" xfId="0" applyNumberFormat="1" applyFont="1" applyFill="1" applyBorder="1" applyAlignment="1">
      <alignment horizontal="right"/>
    </xf>
    <xf numFmtId="3" fontId="24" fillId="0" borderId="16" xfId="1" applyNumberFormat="1" applyFont="1" applyBorder="1" applyAlignment="1">
      <alignment horizontal="right"/>
    </xf>
    <xf numFmtId="3" fontId="9" fillId="2" borderId="16" xfId="0" applyNumberFormat="1" applyFont="1" applyFill="1" applyBorder="1" applyAlignment="1">
      <alignment horizontal="right"/>
    </xf>
    <xf numFmtId="3" fontId="44" fillId="2" borderId="16" xfId="0" applyNumberFormat="1" applyFon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3" fontId="44" fillId="2" borderId="11" xfId="0" applyNumberFormat="1" applyFont="1" applyFill="1" applyBorder="1" applyAlignment="1">
      <alignment horizontal="right"/>
    </xf>
    <xf numFmtId="3" fontId="13" fillId="2" borderId="16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right"/>
    </xf>
    <xf numFmtId="2" fontId="21" fillId="0" borderId="12" xfId="1" applyNumberFormat="1" applyFont="1" applyBorder="1" applyAlignment="1">
      <alignment wrapText="1"/>
    </xf>
    <xf numFmtId="164" fontId="21" fillId="0" borderId="12" xfId="1" applyNumberFormat="1" applyFont="1" applyBorder="1"/>
    <xf numFmtId="3" fontId="22" fillId="0" borderId="0" xfId="0" applyNumberFormat="1" applyFont="1"/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horizontal="left" wrapText="1"/>
    </xf>
    <xf numFmtId="0" fontId="31" fillId="0" borderId="5" xfId="1" quotePrefix="1" applyFont="1" applyBorder="1" applyAlignment="1">
      <alignment horizontal="center" vertical="center" wrapText="1"/>
    </xf>
    <xf numFmtId="3" fontId="31" fillId="0" borderId="3" xfId="1" applyNumberFormat="1" applyFont="1" applyBorder="1"/>
    <xf numFmtId="3" fontId="31" fillId="0" borderId="3" xfId="1" applyNumberFormat="1" applyFont="1" applyBorder="1" applyAlignment="1">
      <alignment horizontal="right"/>
    </xf>
    <xf numFmtId="3" fontId="28" fillId="0" borderId="3" xfId="1" applyNumberFormat="1" applyFont="1" applyBorder="1"/>
    <xf numFmtId="3" fontId="27" fillId="0" borderId="3" xfId="1" quotePrefix="1" applyNumberFormat="1" applyFont="1" applyBorder="1" applyAlignment="1">
      <alignment vertical="center"/>
    </xf>
    <xf numFmtId="3" fontId="45" fillId="0" borderId="14" xfId="1" applyNumberFormat="1" applyFont="1" applyBorder="1" applyAlignment="1">
      <alignment vertical="center" wrapText="1"/>
    </xf>
    <xf numFmtId="3" fontId="27" fillId="0" borderId="14" xfId="1" applyNumberFormat="1" applyFont="1" applyBorder="1" applyAlignment="1">
      <alignment vertical="center" wrapText="1"/>
    </xf>
    <xf numFmtId="3" fontId="45" fillId="0" borderId="3" xfId="1" applyNumberFormat="1" applyFont="1" applyBorder="1" applyAlignment="1">
      <alignment vertical="center" wrapText="1"/>
    </xf>
    <xf numFmtId="3" fontId="31" fillId="0" borderId="5" xfId="1" applyNumberFormat="1" applyFont="1" applyBorder="1" applyAlignment="1">
      <alignment horizontal="right"/>
    </xf>
    <xf numFmtId="3" fontId="31" fillId="0" borderId="14" xfId="1" applyNumberFormat="1" applyFont="1" applyBorder="1" applyAlignment="1">
      <alignment horizontal="right"/>
    </xf>
    <xf numFmtId="3" fontId="28" fillId="0" borderId="0" xfId="1" applyNumberFormat="1" applyFont="1"/>
    <xf numFmtId="0" fontId="28" fillId="0" borderId="0" xfId="1" applyFont="1"/>
    <xf numFmtId="3" fontId="31" fillId="0" borderId="0" xfId="1" applyNumberFormat="1" applyFont="1"/>
    <xf numFmtId="0" fontId="46" fillId="0" borderId="0" xfId="0" applyFont="1"/>
    <xf numFmtId="3" fontId="20" fillId="0" borderId="24" xfId="1" applyNumberFormat="1" applyFont="1" applyBorder="1"/>
    <xf numFmtId="3" fontId="20" fillId="0" borderId="24" xfId="1" applyNumberFormat="1" applyFont="1" applyBorder="1" applyAlignment="1">
      <alignment horizontal="right"/>
    </xf>
    <xf numFmtId="4" fontId="20" fillId="0" borderId="24" xfId="1" applyNumberFormat="1" applyFont="1" applyBorder="1" applyAlignment="1">
      <alignment horizontal="right"/>
    </xf>
    <xf numFmtId="4" fontId="20" fillId="0" borderId="46" xfId="1" applyNumberFormat="1" applyFont="1" applyBorder="1"/>
    <xf numFmtId="0" fontId="20" fillId="0" borderId="0" xfId="1" applyFont="1" applyAlignment="1">
      <alignment horizontal="center" vertical="center" wrapText="1"/>
    </xf>
    <xf numFmtId="0" fontId="21" fillId="0" borderId="0" xfId="3" applyFont="1"/>
    <xf numFmtId="4" fontId="35" fillId="3" borderId="3" xfId="3" applyNumberFormat="1" applyFont="1" applyFill="1" applyBorder="1"/>
    <xf numFmtId="3" fontId="35" fillId="3" borderId="3" xfId="2" applyNumberFormat="1" applyFont="1" applyFill="1" applyBorder="1"/>
    <xf numFmtId="3" fontId="35" fillId="3" borderId="3" xfId="3" applyNumberFormat="1" applyFont="1" applyFill="1" applyBorder="1"/>
    <xf numFmtId="3" fontId="48" fillId="3" borderId="3" xfId="2" applyNumberFormat="1" applyFont="1" applyFill="1" applyBorder="1" applyProtection="1">
      <protection locked="0"/>
    </xf>
    <xf numFmtId="3" fontId="36" fillId="0" borderId="0" xfId="3" applyNumberFormat="1" applyFont="1" applyProtection="1">
      <protection locked="0"/>
    </xf>
    <xf numFmtId="4" fontId="36" fillId="0" borderId="3" xfId="3" applyNumberFormat="1" applyFont="1" applyBorder="1" applyProtection="1">
      <protection locked="0"/>
    </xf>
    <xf numFmtId="3" fontId="36" fillId="0" borderId="3" xfId="2" applyNumberFormat="1" applyFont="1" applyBorder="1" applyProtection="1">
      <protection locked="0"/>
    </xf>
    <xf numFmtId="3" fontId="36" fillId="0" borderId="3" xfId="2" applyNumberFormat="1" applyFont="1" applyBorder="1" applyAlignment="1" applyProtection="1">
      <alignment wrapText="1"/>
      <protection locked="0"/>
    </xf>
    <xf numFmtId="3" fontId="35" fillId="4" borderId="3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3" applyFont="1" applyAlignment="1">
      <alignment horizontal="right"/>
    </xf>
    <xf numFmtId="3" fontId="36" fillId="0" borderId="3" xfId="3" applyNumberFormat="1" applyFont="1" applyBorder="1" applyProtection="1">
      <protection locked="0"/>
    </xf>
    <xf numFmtId="0" fontId="26" fillId="0" borderId="42" xfId="1" quotePrefix="1" applyFont="1" applyBorder="1" applyAlignment="1">
      <alignment horizontal="right" vertical="top"/>
    </xf>
    <xf numFmtId="0" fontId="26" fillId="0" borderId="13" xfId="1" applyFont="1" applyBorder="1" applyAlignment="1">
      <alignment vertical="center"/>
    </xf>
    <xf numFmtId="3" fontId="28" fillId="0" borderId="13" xfId="1" applyNumberFormat="1" applyFont="1" applyBorder="1" applyAlignment="1">
      <alignment horizontal="right"/>
    </xf>
    <xf numFmtId="3" fontId="9" fillId="2" borderId="15" xfId="0" applyNumberFormat="1" applyFont="1" applyFill="1" applyBorder="1" applyAlignment="1">
      <alignment horizontal="right"/>
    </xf>
    <xf numFmtId="3" fontId="9" fillId="2" borderId="14" xfId="0" applyNumberFormat="1" applyFont="1" applyFill="1" applyBorder="1" applyAlignment="1">
      <alignment horizontal="right"/>
    </xf>
    <xf numFmtId="3" fontId="9" fillId="2" borderId="21" xfId="0" applyNumberFormat="1" applyFont="1" applyFill="1" applyBorder="1" applyAlignment="1">
      <alignment horizontal="right"/>
    </xf>
    <xf numFmtId="0" fontId="26" fillId="0" borderId="23" xfId="1" quotePrefix="1" applyFont="1" applyBorder="1" applyAlignment="1">
      <alignment horizontal="right" vertical="top"/>
    </xf>
    <xf numFmtId="3" fontId="22" fillId="0" borderId="25" xfId="0" applyNumberFormat="1" applyFont="1" applyBorder="1"/>
    <xf numFmtId="3" fontId="26" fillId="0" borderId="13" xfId="1" applyNumberFormat="1" applyFont="1" applyBorder="1" applyAlignment="1">
      <alignment vertical="center"/>
    </xf>
    <xf numFmtId="3" fontId="27" fillId="0" borderId="13" xfId="1" applyNumberFormat="1" applyFont="1" applyBorder="1" applyAlignment="1">
      <alignment vertical="center"/>
    </xf>
    <xf numFmtId="0" fontId="24" fillId="0" borderId="24" xfId="1" applyFont="1" applyBorder="1" applyAlignment="1">
      <alignment horizontal="right" vertical="top"/>
    </xf>
    <xf numFmtId="3" fontId="44" fillId="2" borderId="31" xfId="0" applyNumberFormat="1" applyFont="1" applyFill="1" applyBorder="1" applyAlignment="1">
      <alignment horizontal="right"/>
    </xf>
    <xf numFmtId="3" fontId="44" fillId="2" borderId="18" xfId="0" applyNumberFormat="1" applyFont="1" applyFill="1" applyBorder="1" applyAlignment="1">
      <alignment horizontal="right"/>
    </xf>
    <xf numFmtId="3" fontId="44" fillId="2" borderId="19" xfId="0" applyNumberFormat="1" applyFont="1" applyFill="1" applyBorder="1" applyAlignment="1">
      <alignment horizontal="right"/>
    </xf>
    <xf numFmtId="3" fontId="22" fillId="0" borderId="47" xfId="0" applyNumberFormat="1" applyFont="1" applyBorder="1"/>
    <xf numFmtId="0" fontId="49" fillId="0" borderId="0" xfId="0" applyFont="1"/>
    <xf numFmtId="0" fontId="26" fillId="0" borderId="14" xfId="1" applyFont="1" applyBorder="1" applyAlignment="1">
      <alignment vertical="center"/>
    </xf>
    <xf numFmtId="3" fontId="11" fillId="2" borderId="21" xfId="0" applyNumberFormat="1" applyFont="1" applyFill="1" applyBorder="1" applyAlignment="1">
      <alignment horizontal="right"/>
    </xf>
    <xf numFmtId="0" fontId="35" fillId="0" borderId="0" xfId="1" applyFont="1" applyAlignment="1">
      <alignment horizontal="center" vertical="center" wrapText="1"/>
    </xf>
    <xf numFmtId="3" fontId="35" fillId="0" borderId="24" xfId="1" applyNumberFormat="1" applyFont="1" applyBorder="1" applyAlignment="1">
      <alignment horizontal="right"/>
    </xf>
    <xf numFmtId="0" fontId="24" fillId="0" borderId="15" xfId="1" applyFont="1" applyBorder="1" applyAlignment="1">
      <alignment wrapText="1"/>
    </xf>
    <xf numFmtId="0" fontId="21" fillId="0" borderId="14" xfId="1" applyFont="1" applyBorder="1" applyAlignment="1">
      <alignment horizontal="center" vertical="center" wrapText="1"/>
    </xf>
    <xf numFmtId="0" fontId="24" fillId="0" borderId="14" xfId="1" quotePrefix="1" applyFont="1" applyBorder="1" applyAlignment="1">
      <alignment horizontal="left" wrapText="1"/>
    </xf>
    <xf numFmtId="3" fontId="24" fillId="0" borderId="14" xfId="1" applyNumberFormat="1" applyFont="1" applyBorder="1" applyAlignment="1">
      <alignment horizontal="right" wrapText="1"/>
    </xf>
    <xf numFmtId="2" fontId="24" fillId="0" borderId="14" xfId="1" applyNumberFormat="1" applyFont="1" applyBorder="1" applyAlignment="1">
      <alignment wrapText="1"/>
    </xf>
    <xf numFmtId="164" fontId="24" fillId="0" borderId="14" xfId="1" applyNumberFormat="1" applyFont="1" applyBorder="1"/>
    <xf numFmtId="164" fontId="24" fillId="0" borderId="48" xfId="1" applyNumberFormat="1" applyFont="1" applyBorder="1"/>
    <xf numFmtId="0" fontId="25" fillId="0" borderId="7" xfId="1" quotePrefix="1" applyFont="1" applyBorder="1" applyAlignment="1">
      <alignment horizontal="left" vertical="center" wrapText="1"/>
    </xf>
    <xf numFmtId="0" fontId="25" fillId="0" borderId="8" xfId="1" quotePrefix="1" applyFont="1" applyBorder="1" applyAlignment="1">
      <alignment horizontal="left" vertical="center" wrapText="1"/>
    </xf>
    <xf numFmtId="0" fontId="24" fillId="0" borderId="8" xfId="1" quotePrefix="1" applyFont="1" applyBorder="1" applyAlignment="1">
      <alignment horizontal="left" vertical="center"/>
    </xf>
    <xf numFmtId="0" fontId="24" fillId="0" borderId="8" xfId="1" quotePrefix="1" applyFont="1" applyBorder="1" applyAlignment="1">
      <alignment horizontal="center" vertical="center"/>
    </xf>
    <xf numFmtId="164" fontId="24" fillId="0" borderId="49" xfId="1" applyNumberFormat="1" applyFont="1" applyBorder="1" applyAlignment="1">
      <alignment horizontal="right"/>
    </xf>
    <xf numFmtId="3" fontId="24" fillId="0" borderId="8" xfId="1" quotePrefix="1" applyNumberFormat="1" applyFont="1" applyBorder="1" applyAlignment="1">
      <alignment horizontal="right" wrapText="1"/>
    </xf>
    <xf numFmtId="4" fontId="24" fillId="0" borderId="8" xfId="1" quotePrefix="1" applyNumberFormat="1" applyFont="1" applyBorder="1" applyAlignment="1">
      <alignment horizontal="right" wrapText="1"/>
    </xf>
    <xf numFmtId="0" fontId="24" fillId="0" borderId="14" xfId="1" quotePrefix="1" applyFont="1" applyBorder="1" applyAlignment="1">
      <alignment horizontal="left" vertical="center"/>
    </xf>
    <xf numFmtId="3" fontId="24" fillId="0" borderId="20" xfId="1" applyNumberFormat="1" applyFont="1" applyBorder="1" applyAlignment="1">
      <alignment horizontal="right" wrapText="1"/>
    </xf>
    <xf numFmtId="3" fontId="31" fillId="0" borderId="14" xfId="1" applyNumberFormat="1" applyFont="1" applyBorder="1" applyAlignment="1">
      <alignment horizontal="right" wrapText="1"/>
    </xf>
    <xf numFmtId="3" fontId="3" fillId="2" borderId="15" xfId="0" applyNumberFormat="1" applyFont="1" applyFill="1" applyBorder="1" applyAlignment="1">
      <alignment horizontal="right" wrapText="1"/>
    </xf>
    <xf numFmtId="0" fontId="13" fillId="0" borderId="4" xfId="0" applyFont="1" applyBorder="1" applyAlignment="1">
      <alignment vertical="center"/>
    </xf>
    <xf numFmtId="0" fontId="42" fillId="0" borderId="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right" wrapText="1"/>
    </xf>
    <xf numFmtId="3" fontId="3" fillId="2" borderId="20" xfId="0" applyNumberFormat="1" applyFont="1" applyFill="1" applyBorder="1" applyAlignment="1">
      <alignment horizontal="right" wrapText="1"/>
    </xf>
    <xf numFmtId="3" fontId="22" fillId="0" borderId="42" xfId="0" applyNumberFormat="1" applyFont="1" applyBorder="1"/>
    <xf numFmtId="0" fontId="23" fillId="0" borderId="17" xfId="1" quotePrefix="1" applyFont="1" applyBorder="1" applyAlignment="1">
      <alignment horizontal="center" vertical="center" wrapText="1"/>
    </xf>
    <xf numFmtId="0" fontId="23" fillId="0" borderId="24" xfId="1" quotePrefix="1" applyFont="1" applyBorder="1" applyAlignment="1">
      <alignment horizontal="center" vertical="center" wrapText="1"/>
    </xf>
    <xf numFmtId="0" fontId="24" fillId="0" borderId="24" xfId="1" quotePrefix="1" applyFont="1" applyBorder="1" applyAlignment="1">
      <alignment horizontal="center" vertical="center"/>
    </xf>
    <xf numFmtId="0" fontId="24" fillId="0" borderId="50" xfId="1" applyFont="1" applyBorder="1" applyAlignment="1">
      <alignment horizontal="center" vertical="center" wrapText="1"/>
    </xf>
    <xf numFmtId="0" fontId="24" fillId="0" borderId="46" xfId="1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2" fillId="2" borderId="24" xfId="0" applyFont="1" applyFill="1" applyBorder="1" applyAlignment="1">
      <alignment horizontal="center" vertical="center" wrapText="1"/>
    </xf>
    <xf numFmtId="0" fontId="43" fillId="2" borderId="46" xfId="0" applyFont="1" applyFill="1" applyBorder="1" applyAlignment="1">
      <alignment horizontal="center" vertical="center" wrapText="1"/>
    </xf>
    <xf numFmtId="0" fontId="21" fillId="0" borderId="31" xfId="1" applyFont="1" applyBorder="1" applyAlignment="1">
      <alignment horizontal="right" vertical="top"/>
    </xf>
    <xf numFmtId="0" fontId="26" fillId="0" borderId="23" xfId="1" applyFont="1" applyBorder="1" applyAlignment="1">
      <alignment horizontal="right" vertical="top"/>
    </xf>
    <xf numFmtId="0" fontId="26" fillId="0" borderId="18" xfId="1" applyFont="1" applyBorder="1" applyAlignment="1">
      <alignment vertical="center" wrapText="1"/>
    </xf>
    <xf numFmtId="0" fontId="21" fillId="0" borderId="24" xfId="1" applyFont="1" applyBorder="1"/>
    <xf numFmtId="3" fontId="21" fillId="0" borderId="24" xfId="1" applyNumberFormat="1" applyFont="1" applyBorder="1"/>
    <xf numFmtId="2" fontId="26" fillId="0" borderId="24" xfId="1" applyNumberFormat="1" applyFont="1" applyBorder="1" applyAlignment="1">
      <alignment horizontal="right" vertical="center"/>
    </xf>
    <xf numFmtId="3" fontId="28" fillId="0" borderId="24" xfId="1" applyNumberFormat="1" applyFont="1" applyBorder="1"/>
    <xf numFmtId="164" fontId="21" fillId="0" borderId="46" xfId="1" applyNumberFormat="1" applyFont="1" applyBorder="1"/>
    <xf numFmtId="3" fontId="2" fillId="2" borderId="17" xfId="0" applyNumberFormat="1" applyFont="1" applyFill="1" applyBorder="1"/>
    <xf numFmtId="3" fontId="9" fillId="0" borderId="24" xfId="0" applyNumberFormat="1" applyFont="1" applyBorder="1" applyAlignment="1">
      <alignment horizontal="right"/>
    </xf>
    <xf numFmtId="3" fontId="2" fillId="2" borderId="24" xfId="0" applyNumberFormat="1" applyFont="1" applyFill="1" applyBorder="1"/>
    <xf numFmtId="3" fontId="2" fillId="2" borderId="50" xfId="0" applyNumberFormat="1" applyFont="1" applyFill="1" applyBorder="1"/>
    <xf numFmtId="3" fontId="2" fillId="2" borderId="46" xfId="0" applyNumberFormat="1" applyFont="1" applyFill="1" applyBorder="1"/>
    <xf numFmtId="0" fontId="21" fillId="0" borderId="15" xfId="1" applyFont="1" applyBorder="1" applyAlignment="1">
      <alignment horizontal="right" vertical="top"/>
    </xf>
    <xf numFmtId="3" fontId="24" fillId="0" borderId="12" xfId="1" applyNumberFormat="1" applyFont="1" applyBorder="1" applyAlignment="1">
      <alignment wrapText="1"/>
    </xf>
    <xf numFmtId="3" fontId="21" fillId="0" borderId="12" xfId="1" applyNumberFormat="1" applyFont="1" applyBorder="1" applyAlignment="1">
      <alignment wrapText="1"/>
    </xf>
    <xf numFmtId="4" fontId="21" fillId="0" borderId="12" xfId="1" applyNumberFormat="1" applyFont="1" applyBorder="1" applyAlignment="1">
      <alignment wrapText="1"/>
    </xf>
    <xf numFmtId="3" fontId="11" fillId="0" borderId="9" xfId="0" applyNumberFormat="1" applyFont="1" applyBorder="1" applyAlignment="1">
      <alignment horizontal="right"/>
    </xf>
    <xf numFmtId="3" fontId="24" fillId="0" borderId="42" xfId="1" quotePrefix="1" applyNumberFormat="1" applyFont="1" applyBorder="1" applyAlignment="1">
      <alignment horizontal="right" wrapText="1"/>
    </xf>
    <xf numFmtId="3" fontId="21" fillId="0" borderId="22" xfId="1" applyNumberFormat="1" applyFont="1" applyBorder="1" applyAlignment="1">
      <alignment wrapText="1"/>
    </xf>
    <xf numFmtId="3" fontId="24" fillId="0" borderId="51" xfId="1" applyNumberFormat="1" applyFont="1" applyBorder="1" applyAlignment="1">
      <alignment wrapText="1"/>
    </xf>
    <xf numFmtId="0" fontId="43" fillId="0" borderId="52" xfId="0" applyFont="1" applyBorder="1" applyAlignment="1">
      <alignment horizontal="center" vertical="center" wrapText="1"/>
    </xf>
    <xf numFmtId="3" fontId="3" fillId="2" borderId="43" xfId="0" applyNumberFormat="1" applyFont="1" applyFill="1" applyBorder="1" applyAlignment="1">
      <alignment horizontal="right" wrapText="1"/>
    </xf>
    <xf numFmtId="3" fontId="3" fillId="2" borderId="33" xfId="0" applyNumberFormat="1" applyFont="1" applyFill="1" applyBorder="1" applyAlignment="1">
      <alignment horizontal="right"/>
    </xf>
    <xf numFmtId="3" fontId="24" fillId="0" borderId="28" xfId="1" applyNumberFormat="1" applyFont="1" applyBorder="1" applyAlignment="1">
      <alignment horizontal="right"/>
    </xf>
    <xf numFmtId="3" fontId="11" fillId="2" borderId="28" xfId="0" applyNumberFormat="1" applyFont="1" applyFill="1" applyBorder="1" applyAlignment="1">
      <alignment horizontal="right"/>
    </xf>
    <xf numFmtId="3" fontId="9" fillId="2" borderId="28" xfId="0" applyNumberFormat="1" applyFont="1" applyFill="1" applyBorder="1" applyAlignment="1">
      <alignment horizontal="right"/>
    </xf>
    <xf numFmtId="3" fontId="44" fillId="2" borderId="28" xfId="0" applyNumberFormat="1" applyFont="1" applyFill="1" applyBorder="1" applyAlignment="1">
      <alignment horizontal="right"/>
    </xf>
    <xf numFmtId="3" fontId="3" fillId="2" borderId="28" xfId="0" applyNumberFormat="1" applyFont="1" applyFill="1" applyBorder="1" applyAlignment="1">
      <alignment horizontal="right"/>
    </xf>
    <xf numFmtId="3" fontId="4" fillId="2" borderId="28" xfId="0" applyNumberFormat="1" applyFont="1" applyFill="1" applyBorder="1" applyAlignment="1">
      <alignment horizontal="right"/>
    </xf>
    <xf numFmtId="3" fontId="44" fillId="2" borderId="53" xfId="0" applyNumberFormat="1" applyFont="1" applyFill="1" applyBorder="1" applyAlignment="1">
      <alignment horizontal="right"/>
    </xf>
    <xf numFmtId="3" fontId="13" fillId="2" borderId="28" xfId="0" applyNumberFormat="1" applyFont="1" applyFill="1" applyBorder="1" applyAlignment="1">
      <alignment horizontal="right"/>
    </xf>
    <xf numFmtId="3" fontId="44" fillId="2" borderId="54" xfId="0" applyNumberFormat="1" applyFont="1" applyFill="1" applyBorder="1" applyAlignment="1">
      <alignment horizontal="right"/>
    </xf>
    <xf numFmtId="3" fontId="44" fillId="2" borderId="29" xfId="0" applyNumberFormat="1" applyFont="1" applyFill="1" applyBorder="1" applyAlignment="1">
      <alignment horizontal="right"/>
    </xf>
    <xf numFmtId="0" fontId="43" fillId="2" borderId="55" xfId="0" applyFont="1" applyFill="1" applyBorder="1" applyAlignment="1">
      <alignment horizontal="center" vertical="center" wrapText="1"/>
    </xf>
    <xf numFmtId="3" fontId="3" fillId="2" borderId="43" xfId="0" applyNumberFormat="1" applyFont="1" applyFill="1" applyBorder="1" applyAlignment="1">
      <alignment horizontal="right"/>
    </xf>
    <xf numFmtId="3" fontId="9" fillId="2" borderId="28" xfId="0" applyNumberFormat="1" applyFont="1" applyFill="1" applyBorder="1"/>
    <xf numFmtId="3" fontId="9" fillId="2" borderId="48" xfId="0" applyNumberFormat="1" applyFont="1" applyFill="1" applyBorder="1" applyAlignment="1">
      <alignment horizontal="right"/>
    </xf>
    <xf numFmtId="0" fontId="42" fillId="0" borderId="6" xfId="0" applyFont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right" wrapText="1"/>
    </xf>
    <xf numFmtId="0" fontId="42" fillId="2" borderId="46" xfId="0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right"/>
    </xf>
    <xf numFmtId="3" fontId="24" fillId="0" borderId="14" xfId="1" applyNumberFormat="1" applyFont="1" applyBorder="1" applyAlignment="1">
      <alignment wrapText="1"/>
    </xf>
    <xf numFmtId="3" fontId="21" fillId="0" borderId="3" xfId="1" applyNumberFormat="1" applyFont="1" applyBorder="1" applyAlignment="1">
      <alignment wrapText="1"/>
    </xf>
    <xf numFmtId="3" fontId="21" fillId="0" borderId="18" xfId="1" applyNumberFormat="1" applyFont="1" applyBorder="1" applyAlignment="1">
      <alignment wrapText="1"/>
    </xf>
    <xf numFmtId="3" fontId="26" fillId="0" borderId="14" xfId="1" applyNumberFormat="1" applyFont="1" applyBorder="1" applyAlignment="1">
      <alignment horizontal="right" vertical="center"/>
    </xf>
    <xf numFmtId="3" fontId="26" fillId="0" borderId="3" xfId="1" applyNumberFormat="1" applyFont="1" applyBorder="1" applyAlignment="1">
      <alignment horizontal="right" vertical="center"/>
    </xf>
    <xf numFmtId="3" fontId="25" fillId="0" borderId="3" xfId="1" applyNumberFormat="1" applyFont="1" applyBorder="1" applyAlignment="1">
      <alignment horizontal="right" vertical="center"/>
    </xf>
    <xf numFmtId="3" fontId="26" fillId="0" borderId="13" xfId="1" applyNumberFormat="1" applyFont="1" applyBorder="1" applyAlignment="1">
      <alignment horizontal="right" vertical="center"/>
    </xf>
    <xf numFmtId="3" fontId="26" fillId="0" borderId="18" xfId="1" applyNumberFormat="1" applyFont="1" applyBorder="1" applyAlignment="1">
      <alignment horizontal="right" vertical="center"/>
    </xf>
    <xf numFmtId="3" fontId="26" fillId="0" borderId="12" xfId="1" applyNumberFormat="1" applyFont="1" applyBorder="1" applyAlignment="1">
      <alignment horizontal="right" vertical="center"/>
    </xf>
    <xf numFmtId="3" fontId="25" fillId="0" borderId="5" xfId="1" applyNumberFormat="1" applyFont="1" applyBorder="1" applyAlignment="1">
      <alignment horizontal="right" vertical="center"/>
    </xf>
    <xf numFmtId="3" fontId="24" fillId="0" borderId="1" xfId="1" applyNumberFormat="1" applyFont="1" applyBorder="1" applyAlignment="1">
      <alignment horizontal="right"/>
    </xf>
    <xf numFmtId="3" fontId="21" fillId="0" borderId="1" xfId="1" applyNumberFormat="1" applyFont="1" applyBorder="1" applyAlignment="1">
      <alignment horizontal="right"/>
    </xf>
    <xf numFmtId="3" fontId="21" fillId="0" borderId="18" xfId="1" applyNumberFormat="1" applyFont="1" applyBorder="1" applyAlignment="1">
      <alignment horizontal="right"/>
    </xf>
    <xf numFmtId="3" fontId="21" fillId="0" borderId="16" xfId="1" applyNumberFormat="1" applyFont="1" applyBorder="1" applyAlignment="1">
      <alignment horizontal="right"/>
    </xf>
    <xf numFmtId="3" fontId="21" fillId="0" borderId="28" xfId="1" applyNumberFormat="1" applyFont="1" applyBorder="1" applyAlignment="1">
      <alignment horizontal="right"/>
    </xf>
    <xf numFmtId="3" fontId="11" fillId="0" borderId="16" xfId="0" applyNumberFormat="1" applyFont="1" applyBorder="1" applyAlignment="1">
      <alignment horizontal="right"/>
    </xf>
    <xf numFmtId="3" fontId="11" fillId="0" borderId="28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28" xfId="0" applyNumberFormat="1" applyFont="1" applyBorder="1" applyAlignment="1">
      <alignment horizontal="right"/>
    </xf>
    <xf numFmtId="3" fontId="44" fillId="0" borderId="16" xfId="0" applyNumberFormat="1" applyFont="1" applyBorder="1" applyAlignment="1">
      <alignment horizontal="right"/>
    </xf>
    <xf numFmtId="3" fontId="44" fillId="0" borderId="9" xfId="0" applyNumberFormat="1" applyFont="1" applyBorder="1" applyAlignment="1">
      <alignment horizontal="right"/>
    </xf>
    <xf numFmtId="3" fontId="44" fillId="0" borderId="2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1" fillId="0" borderId="21" xfId="0" applyNumberFormat="1" applyFont="1" applyBorder="1" applyAlignment="1">
      <alignment horizontal="right"/>
    </xf>
    <xf numFmtId="3" fontId="11" fillId="0" borderId="48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3" fontId="44" fillId="0" borderId="11" xfId="0" applyNumberFormat="1" applyFont="1" applyBorder="1" applyAlignment="1">
      <alignment horizontal="right"/>
    </xf>
    <xf numFmtId="3" fontId="44" fillId="0" borderId="13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9" fillId="0" borderId="16" xfId="0" applyNumberFormat="1" applyFont="1" applyBorder="1"/>
    <xf numFmtId="3" fontId="9" fillId="0" borderId="3" xfId="0" applyNumberFormat="1" applyFont="1" applyBorder="1"/>
    <xf numFmtId="3" fontId="9" fillId="0" borderId="9" xfId="0" applyNumberFormat="1" applyFont="1" applyBorder="1"/>
    <xf numFmtId="0" fontId="35" fillId="0" borderId="38" xfId="1" applyFont="1" applyBorder="1" applyAlignment="1">
      <alignment horizontal="left" wrapText="1"/>
    </xf>
    <xf numFmtId="0" fontId="36" fillId="0" borderId="2" xfId="1" applyFont="1" applyBorder="1" applyAlignment="1">
      <alignment wrapText="1"/>
    </xf>
    <xf numFmtId="0" fontId="35" fillId="0" borderId="38" xfId="1" quotePrefix="1" applyFont="1" applyBorder="1" applyAlignment="1">
      <alignment horizontal="left" wrapText="1"/>
    </xf>
    <xf numFmtId="0" fontId="35" fillId="0" borderId="39" xfId="1" quotePrefix="1" applyFont="1" applyBorder="1" applyAlignment="1">
      <alignment horizontal="left" wrapText="1"/>
    </xf>
    <xf numFmtId="0" fontId="36" fillId="0" borderId="40" xfId="1" applyFont="1" applyBorder="1" applyAlignment="1">
      <alignment wrapText="1"/>
    </xf>
    <xf numFmtId="0" fontId="35" fillId="0" borderId="38" xfId="1" quotePrefix="1" applyFont="1" applyBorder="1" applyAlignment="1">
      <alignment horizontal="left"/>
    </xf>
    <xf numFmtId="0" fontId="28" fillId="0" borderId="2" xfId="1" applyFont="1" applyBorder="1"/>
    <xf numFmtId="0" fontId="20" fillId="0" borderId="39" xfId="1" applyFont="1" applyBorder="1" applyAlignment="1">
      <alignment horizontal="left" wrapText="1"/>
    </xf>
    <xf numFmtId="0" fontId="37" fillId="0" borderId="40" xfId="1" applyFont="1" applyBorder="1" applyAlignment="1">
      <alignment wrapText="1"/>
    </xf>
    <xf numFmtId="0" fontId="21" fillId="0" borderId="40" xfId="1" applyFont="1" applyBorder="1"/>
    <xf numFmtId="0" fontId="33" fillId="0" borderId="0" xfId="1" applyFont="1" applyAlignment="1">
      <alignment horizontal="center" vertical="center" wrapText="1"/>
    </xf>
    <xf numFmtId="0" fontId="33" fillId="0" borderId="0" xfId="1" quotePrefix="1" applyFont="1" applyAlignment="1">
      <alignment horizontal="center" vertical="center" wrapText="1"/>
    </xf>
    <xf numFmtId="0" fontId="20" fillId="0" borderId="44" xfId="1" applyFont="1" applyBorder="1" applyAlignment="1">
      <alignment horizontal="left" wrapText="1"/>
    </xf>
    <xf numFmtId="0" fontId="20" fillId="0" borderId="25" xfId="1" applyFont="1" applyBorder="1" applyAlignment="1">
      <alignment horizontal="left" wrapText="1"/>
    </xf>
    <xf numFmtId="0" fontId="20" fillId="0" borderId="45" xfId="1" applyFont="1" applyBorder="1" applyAlignment="1">
      <alignment horizontal="left" wrapText="1"/>
    </xf>
    <xf numFmtId="0" fontId="28" fillId="0" borderId="2" xfId="1" applyFont="1" applyBorder="1" applyAlignment="1">
      <alignment wrapText="1"/>
    </xf>
    <xf numFmtId="0" fontId="20" fillId="0" borderId="0" xfId="3" applyFont="1" applyAlignment="1">
      <alignment horizontal="center" wrapText="1"/>
    </xf>
    <xf numFmtId="0" fontId="33" fillId="0" borderId="0" xfId="1" quotePrefix="1" applyFont="1" applyAlignment="1">
      <alignment horizontal="left" wrapText="1"/>
    </xf>
    <xf numFmtId="0" fontId="20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0" xfId="1" quotePrefix="1" applyFont="1" applyAlignment="1">
      <alignment horizontal="left" wrapText="1"/>
    </xf>
    <xf numFmtId="3" fontId="9" fillId="0" borderId="3" xfId="0" applyNumberFormat="1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3" fontId="9" fillId="0" borderId="14" xfId="0" applyNumberFormat="1" applyFont="1" applyFill="1" applyBorder="1" applyAlignment="1">
      <alignment horizontal="right"/>
    </xf>
    <xf numFmtId="3" fontId="11" fillId="0" borderId="14" xfId="0" applyNumberFormat="1" applyFont="1" applyFill="1" applyBorder="1" applyAlignment="1">
      <alignment horizontal="right"/>
    </xf>
  </cellXfs>
  <cellStyles count="5"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Normalno" xfId="0" builtinId="0"/>
    <cellStyle name="Normalno 2" xfId="4" xr:uid="{8691F960-382D-490F-8E81-5BD7854756EC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1"/>
  <sheetViews>
    <sheetView zoomScaleNormal="100" workbookViewId="0">
      <selection activeCell="G47" sqref="G47"/>
    </sheetView>
  </sheetViews>
  <sheetFormatPr defaultRowHeight="15" x14ac:dyDescent="0.25"/>
  <cols>
    <col min="1" max="4" width="9.140625" style="128"/>
    <col min="5" max="5" width="9.42578125" style="128" customWidth="1"/>
    <col min="6" max="6" width="14.28515625" style="128" hidden="1" customWidth="1"/>
    <col min="7" max="8" width="16.7109375" style="128" customWidth="1"/>
    <col min="9" max="9" width="16.140625" style="128" customWidth="1"/>
    <col min="10" max="10" width="17.42578125" style="128" hidden="1" customWidth="1"/>
    <col min="11" max="11" width="0.85546875" style="128" hidden="1" customWidth="1"/>
    <col min="12" max="12" width="14.5703125" style="128" customWidth="1"/>
    <col min="13" max="16384" width="9.140625" style="128"/>
  </cols>
  <sheetData>
    <row r="1" spans="1:12" x14ac:dyDescent="0.25">
      <c r="A1" s="128" t="s">
        <v>258</v>
      </c>
    </row>
    <row r="2" spans="1:12" ht="41.25" customHeight="1" x14ac:dyDescent="0.25">
      <c r="A2" s="627" t="s">
        <v>247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</row>
    <row r="3" spans="1:12" ht="18.75" customHeight="1" x14ac:dyDescent="0.25">
      <c r="A3" s="627" t="s">
        <v>0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  <c r="L3" s="627"/>
    </row>
    <row r="4" spans="1:12" ht="19.5" thickBot="1" x14ac:dyDescent="0.35">
      <c r="A4" s="214"/>
      <c r="B4" s="215"/>
      <c r="C4" s="215"/>
      <c r="D4" s="215"/>
      <c r="E4" s="215"/>
      <c r="F4" s="215"/>
      <c r="G4" s="216"/>
      <c r="H4" s="216"/>
      <c r="I4" s="216"/>
      <c r="J4" s="216"/>
      <c r="K4" s="127" t="s">
        <v>1</v>
      </c>
      <c r="L4" s="127" t="s">
        <v>259</v>
      </c>
    </row>
    <row r="5" spans="1:12" ht="58.5" customHeight="1" thickTop="1" x14ac:dyDescent="0.25">
      <c r="A5" s="386"/>
      <c r="B5" s="387"/>
      <c r="C5" s="387"/>
      <c r="D5" s="388"/>
      <c r="E5" s="389"/>
      <c r="F5" s="399" t="s">
        <v>253</v>
      </c>
      <c r="G5" s="399" t="s">
        <v>252</v>
      </c>
      <c r="H5" s="399" t="s">
        <v>248</v>
      </c>
      <c r="I5" s="399" t="s">
        <v>254</v>
      </c>
      <c r="J5" s="390" t="s">
        <v>209</v>
      </c>
      <c r="K5" s="391" t="s">
        <v>3</v>
      </c>
      <c r="L5" s="337" t="s">
        <v>257</v>
      </c>
    </row>
    <row r="6" spans="1:12" ht="15.75" x14ac:dyDescent="0.25">
      <c r="A6" s="617" t="s">
        <v>4</v>
      </c>
      <c r="B6" s="618"/>
      <c r="C6" s="618"/>
      <c r="D6" s="618"/>
      <c r="E6" s="623"/>
      <c r="F6" s="400">
        <f>Prihodi!F6</f>
        <v>8167978.4000000013</v>
      </c>
      <c r="G6" s="401">
        <f>Prihodi!H6</f>
        <v>10990092</v>
      </c>
      <c r="H6" s="401">
        <f>I6-G6</f>
        <v>1952051</v>
      </c>
      <c r="I6" s="401">
        <f>Prihodi!K6</f>
        <v>12942143</v>
      </c>
      <c r="J6" s="219">
        <f>AVERAGE(I6/F6*100)</f>
        <v>158.44977014140974</v>
      </c>
      <c r="K6" s="220">
        <v>59250000</v>
      </c>
      <c r="L6" s="392">
        <f>AVERAGE(I6/G6)*100</f>
        <v>117.76191682471813</v>
      </c>
    </row>
    <row r="7" spans="1:12" ht="15.75" x14ac:dyDescent="0.25">
      <c r="A7" s="622" t="s">
        <v>5</v>
      </c>
      <c r="B7" s="623"/>
      <c r="C7" s="623"/>
      <c r="D7" s="623"/>
      <c r="E7" s="623"/>
      <c r="F7" s="217">
        <f>Prihodi!F57</f>
        <v>2928</v>
      </c>
      <c r="G7" s="218">
        <f>Prihodi!H57</f>
        <v>80000</v>
      </c>
      <c r="H7" s="401">
        <f t="shared" ref="H7:H10" si="0">I7-G7</f>
        <v>0</v>
      </c>
      <c r="I7" s="218">
        <f>Prihodi!K57</f>
        <v>80000</v>
      </c>
      <c r="J7" s="219">
        <f t="shared" ref="J7:J10" si="1">AVERAGE(I7/F7*100)</f>
        <v>2732.2404371584698</v>
      </c>
      <c r="K7" s="220">
        <v>0</v>
      </c>
      <c r="L7" s="392">
        <f t="shared" ref="L7:L10" si="2">AVERAGE(I7/G7)*100</f>
        <v>100</v>
      </c>
    </row>
    <row r="8" spans="1:12" ht="15.75" x14ac:dyDescent="0.25">
      <c r="A8" s="619" t="s">
        <v>6</v>
      </c>
      <c r="B8" s="618"/>
      <c r="C8" s="618"/>
      <c r="D8" s="618"/>
      <c r="E8" s="632"/>
      <c r="F8" s="221">
        <f>Rashodi!F5</f>
        <v>7636958.8700000001</v>
      </c>
      <c r="G8" s="222">
        <f>Rashodi!H5</f>
        <v>10591142</v>
      </c>
      <c r="H8" s="401">
        <f t="shared" si="0"/>
        <v>1980306</v>
      </c>
      <c r="I8" s="222">
        <f>Rashodi!K5</f>
        <v>12571448</v>
      </c>
      <c r="J8" s="219">
        <f t="shared" si="1"/>
        <v>164.61327360795383</v>
      </c>
      <c r="K8" s="223">
        <v>59217000</v>
      </c>
      <c r="L8" s="392">
        <f t="shared" si="2"/>
        <v>118.69775705018401</v>
      </c>
    </row>
    <row r="9" spans="1:12" ht="15.75" x14ac:dyDescent="0.25">
      <c r="A9" s="622" t="s">
        <v>7</v>
      </c>
      <c r="B9" s="623"/>
      <c r="C9" s="623"/>
      <c r="D9" s="623"/>
      <c r="E9" s="623"/>
      <c r="F9" s="217">
        <f>Rashodi!F74</f>
        <v>263801.02</v>
      </c>
      <c r="G9" s="222">
        <f>Rashodi!H74</f>
        <v>474730</v>
      </c>
      <c r="H9" s="401">
        <f t="shared" si="0"/>
        <v>-24235</v>
      </c>
      <c r="I9" s="222">
        <f>Rashodi!K74</f>
        <v>450495</v>
      </c>
      <c r="J9" s="219">
        <f t="shared" si="1"/>
        <v>170.77075744437985</v>
      </c>
      <c r="K9" s="223"/>
      <c r="L9" s="392">
        <f t="shared" si="2"/>
        <v>94.894992943357281</v>
      </c>
    </row>
    <row r="10" spans="1:12" ht="16.5" thickBot="1" x14ac:dyDescent="0.3">
      <c r="A10" s="620" t="s">
        <v>8</v>
      </c>
      <c r="B10" s="621"/>
      <c r="C10" s="621"/>
      <c r="D10" s="621"/>
      <c r="E10" s="621"/>
      <c r="F10" s="393">
        <f>SUM(F6+F7-F8-F9)</f>
        <v>270146.51000000117</v>
      </c>
      <c r="G10" s="393">
        <f>SUM(G6+G7-G8-G9)</f>
        <v>4220</v>
      </c>
      <c r="H10" s="401">
        <f t="shared" si="0"/>
        <v>-4019.6</v>
      </c>
      <c r="I10" s="393">
        <f>SUM(I6+I7-I8-I9)+0.4</f>
        <v>200.4</v>
      </c>
      <c r="J10" s="394">
        <f t="shared" si="1"/>
        <v>7.4181968887919059E-2</v>
      </c>
      <c r="K10" s="395">
        <v>33000</v>
      </c>
      <c r="L10" s="396">
        <f t="shared" si="2"/>
        <v>4.7488151658767777</v>
      </c>
    </row>
    <row r="11" spans="1:12" ht="16.5" thickTop="1" x14ac:dyDescent="0.25">
      <c r="A11" s="224"/>
      <c r="B11" s="225"/>
      <c r="C11" s="225"/>
      <c r="D11" s="225"/>
      <c r="E11" s="225"/>
      <c r="F11" s="225"/>
      <c r="G11" s="226"/>
      <c r="H11" s="226"/>
      <c r="I11" s="226"/>
      <c r="J11" s="226"/>
      <c r="K11" s="127"/>
      <c r="L11" s="385"/>
    </row>
    <row r="12" spans="1:12" ht="18.75" customHeight="1" x14ac:dyDescent="0.25">
      <c r="A12" s="627" t="s">
        <v>9</v>
      </c>
      <c r="B12" s="627"/>
      <c r="C12" s="627"/>
      <c r="D12" s="627"/>
      <c r="E12" s="627"/>
      <c r="F12" s="627"/>
      <c r="G12" s="627"/>
      <c r="H12" s="627"/>
      <c r="I12" s="627"/>
      <c r="J12" s="627"/>
      <c r="K12" s="627"/>
      <c r="L12" s="627"/>
    </row>
    <row r="13" spans="1:12" ht="13.5" customHeight="1" thickBot="1" x14ac:dyDescent="0.35">
      <c r="A13" s="214"/>
      <c r="B13" s="215"/>
      <c r="C13" s="215"/>
      <c r="D13" s="215"/>
      <c r="E13" s="215"/>
      <c r="F13" s="215"/>
      <c r="G13" s="216"/>
      <c r="H13" s="216"/>
      <c r="I13" s="216"/>
      <c r="J13" s="216"/>
      <c r="K13" s="127"/>
      <c r="L13" s="385"/>
    </row>
    <row r="14" spans="1:12" ht="60" customHeight="1" thickTop="1" x14ac:dyDescent="0.25">
      <c r="A14" s="386"/>
      <c r="B14" s="387"/>
      <c r="C14" s="387"/>
      <c r="D14" s="388"/>
      <c r="E14" s="389"/>
      <c r="F14" s="399" t="s">
        <v>253</v>
      </c>
      <c r="G14" s="399" t="s">
        <v>252</v>
      </c>
      <c r="H14" s="399" t="s">
        <v>248</v>
      </c>
      <c r="I14" s="399" t="s">
        <v>254</v>
      </c>
      <c r="J14" s="390" t="s">
        <v>209</v>
      </c>
      <c r="K14" s="391" t="s">
        <v>3</v>
      </c>
      <c r="L14" s="337" t="s">
        <v>257</v>
      </c>
    </row>
    <row r="15" spans="1:12" ht="16.5" thickBot="1" x14ac:dyDescent="0.3">
      <c r="A15" s="624" t="s">
        <v>193</v>
      </c>
      <c r="B15" s="625"/>
      <c r="C15" s="625"/>
      <c r="D15" s="625"/>
      <c r="E15" s="626"/>
      <c r="F15" s="461">
        <v>-1243685</v>
      </c>
      <c r="G15" s="397">
        <v>5066733</v>
      </c>
      <c r="H15" s="462">
        <f>I15-G15</f>
        <v>-43525</v>
      </c>
      <c r="I15" s="497">
        <v>5023208</v>
      </c>
      <c r="J15" s="394">
        <f t="shared" ref="J15" si="3">AVERAGE(I15/F15*100)</f>
        <v>-403.89712829213187</v>
      </c>
      <c r="K15" s="398">
        <v>7713430</v>
      </c>
      <c r="L15" s="396">
        <f>AVERAGE(I15/G15)*100</f>
        <v>99.140965193942534</v>
      </c>
    </row>
    <row r="16" spans="1:12" ht="18" hidden="1" customHeight="1" thickTop="1" thickBot="1" x14ac:dyDescent="0.3">
      <c r="A16" s="629" t="s">
        <v>192</v>
      </c>
      <c r="B16" s="630"/>
      <c r="C16" s="630"/>
      <c r="D16" s="630"/>
      <c r="E16" s="631"/>
      <c r="F16" s="461"/>
      <c r="G16" s="462"/>
      <c r="H16" s="462"/>
      <c r="I16" s="462"/>
      <c r="J16" s="463"/>
      <c r="K16" s="462"/>
      <c r="L16" s="464"/>
    </row>
    <row r="17" spans="1:12" ht="16.5" thickTop="1" x14ac:dyDescent="0.25">
      <c r="A17" s="227"/>
      <c r="B17" s="225"/>
      <c r="C17" s="225"/>
      <c r="D17" s="225"/>
      <c r="E17" s="127"/>
      <c r="F17" s="127"/>
      <c r="G17" s="228"/>
      <c r="H17" s="228"/>
      <c r="I17" s="228"/>
      <c r="J17" s="228"/>
      <c r="K17" s="127"/>
      <c r="L17" s="385"/>
    </row>
    <row r="18" spans="1:12" ht="18.75" customHeight="1" x14ac:dyDescent="0.25">
      <c r="A18" s="628" t="s">
        <v>10</v>
      </c>
      <c r="B18" s="628"/>
      <c r="C18" s="628"/>
      <c r="D18" s="628"/>
      <c r="E18" s="628"/>
      <c r="F18" s="628"/>
      <c r="G18" s="628"/>
      <c r="H18" s="628"/>
      <c r="I18" s="628"/>
      <c r="J18" s="628"/>
      <c r="K18" s="628"/>
      <c r="L18" s="628"/>
    </row>
    <row r="19" spans="1:12" ht="15" customHeight="1" thickBot="1" x14ac:dyDescent="0.35">
      <c r="A19" s="224"/>
      <c r="B19" s="225"/>
      <c r="C19" s="225"/>
      <c r="D19" s="225"/>
      <c r="E19" s="225"/>
      <c r="F19" s="225"/>
      <c r="G19" s="226"/>
      <c r="H19" s="226"/>
      <c r="I19" s="226"/>
      <c r="J19" s="226"/>
      <c r="K19" s="216"/>
      <c r="L19" s="385"/>
    </row>
    <row r="20" spans="1:12" ht="59.25" customHeight="1" thickTop="1" x14ac:dyDescent="0.25">
      <c r="A20" s="386"/>
      <c r="B20" s="387"/>
      <c r="C20" s="387"/>
      <c r="D20" s="388"/>
      <c r="E20" s="389"/>
      <c r="F20" s="399" t="s">
        <v>210</v>
      </c>
      <c r="G20" s="399" t="s">
        <v>252</v>
      </c>
      <c r="H20" s="399" t="s">
        <v>248</v>
      </c>
      <c r="I20" s="399" t="s">
        <v>254</v>
      </c>
      <c r="J20" s="390" t="s">
        <v>209</v>
      </c>
      <c r="K20" s="391" t="s">
        <v>3</v>
      </c>
      <c r="L20" s="337" t="s">
        <v>257</v>
      </c>
    </row>
    <row r="21" spans="1:12" ht="15.75" x14ac:dyDescent="0.25">
      <c r="A21" s="617" t="s">
        <v>11</v>
      </c>
      <c r="B21" s="618"/>
      <c r="C21" s="618"/>
      <c r="D21" s="618"/>
      <c r="E21" s="618"/>
      <c r="F21" s="403"/>
      <c r="G21" s="218">
        <v>0</v>
      </c>
      <c r="H21" s="401"/>
      <c r="I21" s="401">
        <v>0</v>
      </c>
      <c r="J21" s="218">
        <v>0</v>
      </c>
      <c r="K21" s="220">
        <v>0</v>
      </c>
      <c r="L21" s="392"/>
    </row>
    <row r="22" spans="1:12" ht="15.75" x14ac:dyDescent="0.25">
      <c r="A22" s="617" t="s">
        <v>12</v>
      </c>
      <c r="B22" s="618"/>
      <c r="C22" s="618"/>
      <c r="D22" s="618"/>
      <c r="E22" s="618"/>
      <c r="F22" s="229"/>
      <c r="G22" s="218">
        <v>0</v>
      </c>
      <c r="H22" s="218"/>
      <c r="I22" s="218">
        <v>0</v>
      </c>
      <c r="J22" s="218">
        <v>0</v>
      </c>
      <c r="K22" s="220">
        <v>0</v>
      </c>
      <c r="L22" s="392"/>
    </row>
    <row r="23" spans="1:12" ht="15.75" x14ac:dyDescent="0.25">
      <c r="A23" s="619" t="s">
        <v>13</v>
      </c>
      <c r="B23" s="618"/>
      <c r="C23" s="618"/>
      <c r="D23" s="618"/>
      <c r="E23" s="618"/>
      <c r="F23" s="229"/>
      <c r="G23" s="218">
        <v>0</v>
      </c>
      <c r="H23" s="218"/>
      <c r="I23" s="218">
        <v>0</v>
      </c>
      <c r="J23" s="218">
        <v>0</v>
      </c>
      <c r="K23" s="220">
        <v>0</v>
      </c>
      <c r="L23" s="392"/>
    </row>
    <row r="24" spans="1:12" ht="15.75" x14ac:dyDescent="0.25">
      <c r="A24" s="402"/>
      <c r="B24" s="230"/>
      <c r="C24" s="376"/>
      <c r="D24" s="231"/>
      <c r="E24" s="230"/>
      <c r="F24" s="230"/>
      <c r="G24" s="232"/>
      <c r="H24" s="232"/>
      <c r="I24" s="232"/>
      <c r="J24" s="232"/>
      <c r="K24" s="233"/>
      <c r="L24" s="392"/>
    </row>
    <row r="25" spans="1:12" ht="16.5" thickBot="1" x14ac:dyDescent="0.3">
      <c r="A25" s="620" t="s">
        <v>14</v>
      </c>
      <c r="B25" s="621"/>
      <c r="C25" s="621"/>
      <c r="D25" s="621"/>
      <c r="E25" s="621"/>
      <c r="F25" s="397">
        <f>SUM(F10+F15-F16)</f>
        <v>-973538.48999999883</v>
      </c>
      <c r="G25" s="397">
        <f>SUM(G10+G15)</f>
        <v>5070953</v>
      </c>
      <c r="H25" s="397"/>
      <c r="I25" s="397">
        <f>SUM(I10+I15-I16+I21)</f>
        <v>5023408.4000000004</v>
      </c>
      <c r="J25" s="394">
        <f t="shared" ref="J25" si="4">AVERAGE(I25/F25*100)</f>
        <v>-515.99484268978472</v>
      </c>
      <c r="K25" s="398">
        <v>7746430</v>
      </c>
      <c r="L25" s="396">
        <f t="shared" ref="L25" si="5">AVERAGE(I25/G25)*100</f>
        <v>99.062412923172445</v>
      </c>
    </row>
    <row r="26" spans="1:12" ht="19.5" thickTop="1" x14ac:dyDescent="0.3">
      <c r="A26" s="234"/>
      <c r="B26" s="215"/>
      <c r="C26" s="215"/>
      <c r="D26" s="215"/>
      <c r="E26" s="215"/>
      <c r="F26" s="215"/>
      <c r="G26" s="216"/>
      <c r="H26" s="216"/>
      <c r="I26" s="216"/>
      <c r="J26" s="216"/>
      <c r="K26" s="216"/>
      <c r="L26" s="216"/>
    </row>
    <row r="27" spans="1:12" x14ac:dyDescent="0.25">
      <c r="A27" s="127"/>
      <c r="B27" s="127"/>
      <c r="C27" s="127"/>
      <c r="D27" s="235"/>
      <c r="E27" s="127"/>
      <c r="F27" s="127"/>
      <c r="G27" s="127"/>
      <c r="H27" s="127"/>
      <c r="I27" s="127"/>
      <c r="J27" s="127"/>
      <c r="K27" s="127"/>
      <c r="L27" s="127"/>
    </row>
    <row r="28" spans="1:12" x14ac:dyDescent="0.25">
      <c r="A28" s="127"/>
      <c r="B28" s="127"/>
      <c r="C28" s="127"/>
      <c r="D28" s="235"/>
      <c r="E28" s="127"/>
      <c r="F28" s="127"/>
      <c r="G28" s="127"/>
      <c r="H28" s="127"/>
      <c r="I28" s="127"/>
      <c r="J28" s="127"/>
      <c r="K28" s="127"/>
      <c r="L28" s="127"/>
    </row>
    <row r="29" spans="1:12" hidden="1" x14ac:dyDescent="0.25">
      <c r="A29" s="127"/>
      <c r="B29" s="127"/>
      <c r="C29" s="127"/>
      <c r="D29" s="235"/>
      <c r="E29" s="127"/>
      <c r="F29" s="127"/>
      <c r="G29" s="127" t="s">
        <v>231</v>
      </c>
      <c r="H29" s="127"/>
      <c r="I29" s="325">
        <f>Prihodi!K40+Prihodi!K41+Prihodi!K22-Rashodi!O5-Rashodi!O74</f>
        <v>200</v>
      </c>
      <c r="J29" s="127"/>
      <c r="K29" s="127"/>
      <c r="L29" s="127"/>
    </row>
    <row r="30" spans="1:12" hidden="1" x14ac:dyDescent="0.25">
      <c r="A30" s="127"/>
      <c r="B30" s="127"/>
      <c r="C30" s="127"/>
      <c r="D30" s="235"/>
      <c r="E30" s="127"/>
      <c r="F30" s="127"/>
      <c r="G30" s="127" t="s">
        <v>232</v>
      </c>
      <c r="H30" s="127"/>
      <c r="I30" s="325">
        <f>Prihodi!K32+Prihodi!K52-Rashodi!P5-Rashodi!P74-L30</f>
        <v>0</v>
      </c>
      <c r="J30" s="127"/>
      <c r="K30" s="127"/>
      <c r="L30" s="127"/>
    </row>
    <row r="31" spans="1:12" hidden="1" x14ac:dyDescent="0.25">
      <c r="A31" s="127"/>
      <c r="B31" s="127"/>
      <c r="C31" s="127"/>
      <c r="D31" s="235"/>
      <c r="E31" s="127"/>
      <c r="F31" s="127"/>
      <c r="G31" s="127" t="s">
        <v>236</v>
      </c>
      <c r="H31" s="127"/>
      <c r="I31" s="325">
        <f>Prihodi!K8-Rashodi!T5-Rashodi!U5-Rashodi!T74-Rashodi!U74</f>
        <v>0</v>
      </c>
      <c r="J31" s="127"/>
      <c r="K31" s="127"/>
      <c r="L31" s="127"/>
    </row>
    <row r="32" spans="1:12" hidden="1" x14ac:dyDescent="0.25">
      <c r="A32" s="127"/>
      <c r="B32" s="127"/>
      <c r="C32" s="127"/>
      <c r="D32" s="235"/>
      <c r="E32" s="127"/>
      <c r="F32" s="127"/>
      <c r="G32" s="127" t="s">
        <v>233</v>
      </c>
      <c r="H32" s="127"/>
      <c r="I32" s="325">
        <f>Prihodi!K12+Prihodi!K17-Rashodi!S5-Rashodi!S74</f>
        <v>0</v>
      </c>
      <c r="J32" s="127"/>
      <c r="K32" s="127"/>
      <c r="L32" s="127"/>
    </row>
    <row r="33" spans="1:12" hidden="1" x14ac:dyDescent="0.25">
      <c r="A33" s="127"/>
      <c r="B33" s="127"/>
      <c r="C33" s="127"/>
      <c r="D33" s="235"/>
      <c r="E33" s="127"/>
      <c r="F33" s="127"/>
      <c r="G33" s="127"/>
      <c r="H33" s="127"/>
      <c r="I33" s="127"/>
      <c r="J33" s="127"/>
      <c r="K33" s="127"/>
      <c r="L33" s="127"/>
    </row>
    <row r="34" spans="1:12" hidden="1" x14ac:dyDescent="0.25">
      <c r="D34" s="235"/>
      <c r="G34" s="128" t="s">
        <v>234</v>
      </c>
      <c r="I34" s="444">
        <f>Prihodi!K47-Rashodi!Q5-Rashodi!Q74</f>
        <v>0</v>
      </c>
    </row>
    <row r="35" spans="1:12" hidden="1" x14ac:dyDescent="0.25">
      <c r="D35" s="235"/>
      <c r="G35" s="128" t="s">
        <v>235</v>
      </c>
      <c r="I35" s="444">
        <f>Prihodi!K57-Rashodi!R5-Rashodi!R74</f>
        <v>0</v>
      </c>
    </row>
    <row r="36" spans="1:12" hidden="1" x14ac:dyDescent="0.25">
      <c r="D36" s="235"/>
    </row>
    <row r="37" spans="1:12" hidden="1" x14ac:dyDescent="0.25">
      <c r="D37" s="235"/>
      <c r="G37" s="128" t="s">
        <v>237</v>
      </c>
      <c r="I37" s="444">
        <f>SUM(I29:I35)</f>
        <v>200</v>
      </c>
    </row>
    <row r="38" spans="1:12" x14ac:dyDescent="0.25">
      <c r="D38" s="235"/>
    </row>
    <row r="39" spans="1:12" x14ac:dyDescent="0.25">
      <c r="D39" s="235"/>
    </row>
    <row r="40" spans="1:12" x14ac:dyDescent="0.25">
      <c r="D40" s="235"/>
    </row>
    <row r="41" spans="1:12" x14ac:dyDescent="0.25">
      <c r="D41" s="235"/>
    </row>
    <row r="42" spans="1:12" x14ac:dyDescent="0.25">
      <c r="D42" s="235"/>
    </row>
    <row r="43" spans="1:12" x14ac:dyDescent="0.25">
      <c r="D43" s="235"/>
    </row>
    <row r="44" spans="1:12" x14ac:dyDescent="0.25">
      <c r="D44" s="235"/>
    </row>
    <row r="45" spans="1:12" x14ac:dyDescent="0.25">
      <c r="D45" s="235"/>
    </row>
    <row r="46" spans="1:12" x14ac:dyDescent="0.25">
      <c r="D46" s="235"/>
    </row>
    <row r="47" spans="1:12" x14ac:dyDescent="0.25">
      <c r="D47" s="235"/>
    </row>
    <row r="48" spans="1:12" x14ac:dyDescent="0.25">
      <c r="D48" s="235"/>
    </row>
    <row r="49" spans="4:4" x14ac:dyDescent="0.25">
      <c r="D49" s="235"/>
    </row>
    <row r="50" spans="4:4" x14ac:dyDescent="0.25">
      <c r="D50" s="235"/>
    </row>
    <row r="51" spans="4:4" x14ac:dyDescent="0.25">
      <c r="D51" s="235"/>
    </row>
    <row r="52" spans="4:4" x14ac:dyDescent="0.25">
      <c r="D52" s="235"/>
    </row>
    <row r="53" spans="4:4" x14ac:dyDescent="0.25">
      <c r="D53" s="235"/>
    </row>
    <row r="54" spans="4:4" x14ac:dyDescent="0.25">
      <c r="D54" s="235"/>
    </row>
    <row r="55" spans="4:4" x14ac:dyDescent="0.25">
      <c r="D55" s="235"/>
    </row>
    <row r="56" spans="4:4" x14ac:dyDescent="0.25">
      <c r="D56" s="235"/>
    </row>
    <row r="57" spans="4:4" x14ac:dyDescent="0.25">
      <c r="D57" s="235"/>
    </row>
    <row r="58" spans="4:4" x14ac:dyDescent="0.25">
      <c r="D58" s="235"/>
    </row>
    <row r="59" spans="4:4" x14ac:dyDescent="0.25">
      <c r="D59" s="235"/>
    </row>
    <row r="60" spans="4:4" x14ac:dyDescent="0.25">
      <c r="D60" s="235"/>
    </row>
    <row r="61" spans="4:4" x14ac:dyDescent="0.25">
      <c r="D61" s="235"/>
    </row>
    <row r="62" spans="4:4" x14ac:dyDescent="0.25">
      <c r="D62" s="235"/>
    </row>
    <row r="63" spans="4:4" x14ac:dyDescent="0.25">
      <c r="D63" s="235"/>
    </row>
    <row r="64" spans="4:4" x14ac:dyDescent="0.25">
      <c r="D64" s="235"/>
    </row>
    <row r="65" spans="4:4" x14ac:dyDescent="0.25">
      <c r="D65" s="235"/>
    </row>
    <row r="66" spans="4:4" x14ac:dyDescent="0.25">
      <c r="D66" s="235"/>
    </row>
    <row r="67" spans="4:4" x14ac:dyDescent="0.25">
      <c r="D67" s="235"/>
    </row>
    <row r="68" spans="4:4" x14ac:dyDescent="0.25">
      <c r="D68" s="235"/>
    </row>
    <row r="69" spans="4:4" x14ac:dyDescent="0.25">
      <c r="D69" s="235"/>
    </row>
    <row r="70" spans="4:4" x14ac:dyDescent="0.25">
      <c r="D70" s="235"/>
    </row>
    <row r="71" spans="4:4" x14ac:dyDescent="0.25">
      <c r="D71" s="235"/>
    </row>
    <row r="72" spans="4:4" x14ac:dyDescent="0.25">
      <c r="D72" s="235"/>
    </row>
    <row r="73" spans="4:4" x14ac:dyDescent="0.25">
      <c r="D73" s="235"/>
    </row>
    <row r="74" spans="4:4" x14ac:dyDescent="0.25">
      <c r="D74" s="235"/>
    </row>
    <row r="75" spans="4:4" x14ac:dyDescent="0.25">
      <c r="D75" s="235"/>
    </row>
    <row r="76" spans="4:4" x14ac:dyDescent="0.25">
      <c r="D76" s="235"/>
    </row>
    <row r="77" spans="4:4" x14ac:dyDescent="0.25">
      <c r="D77" s="235"/>
    </row>
    <row r="78" spans="4:4" x14ac:dyDescent="0.25">
      <c r="D78" s="235"/>
    </row>
    <row r="79" spans="4:4" x14ac:dyDescent="0.25">
      <c r="D79" s="235"/>
    </row>
    <row r="80" spans="4:4" x14ac:dyDescent="0.25">
      <c r="D80" s="235"/>
    </row>
    <row r="81" spans="4:4" x14ac:dyDescent="0.25">
      <c r="D81" s="235"/>
    </row>
    <row r="82" spans="4:4" x14ac:dyDescent="0.25">
      <c r="D82" s="235"/>
    </row>
    <row r="83" spans="4:4" x14ac:dyDescent="0.25">
      <c r="D83" s="235"/>
    </row>
    <row r="84" spans="4:4" x14ac:dyDescent="0.25">
      <c r="D84" s="235"/>
    </row>
    <row r="85" spans="4:4" x14ac:dyDescent="0.25">
      <c r="D85" s="235"/>
    </row>
    <row r="86" spans="4:4" x14ac:dyDescent="0.25">
      <c r="D86" s="235"/>
    </row>
    <row r="87" spans="4:4" x14ac:dyDescent="0.25">
      <c r="D87" s="235"/>
    </row>
    <row r="88" spans="4:4" x14ac:dyDescent="0.25">
      <c r="D88" s="235"/>
    </row>
    <row r="89" spans="4:4" x14ac:dyDescent="0.25">
      <c r="D89" s="235"/>
    </row>
    <row r="90" spans="4:4" x14ac:dyDescent="0.25">
      <c r="D90" s="235"/>
    </row>
    <row r="91" spans="4:4" x14ac:dyDescent="0.25">
      <c r="D91" s="235"/>
    </row>
    <row r="92" spans="4:4" x14ac:dyDescent="0.25">
      <c r="D92" s="235"/>
    </row>
    <row r="93" spans="4:4" x14ac:dyDescent="0.25">
      <c r="D93" s="235"/>
    </row>
    <row r="94" spans="4:4" x14ac:dyDescent="0.25">
      <c r="D94" s="235"/>
    </row>
    <row r="95" spans="4:4" x14ac:dyDescent="0.25">
      <c r="D95" s="235"/>
    </row>
    <row r="96" spans="4:4" x14ac:dyDescent="0.25">
      <c r="D96" s="235"/>
    </row>
    <row r="97" spans="4:4" x14ac:dyDescent="0.25">
      <c r="D97" s="235"/>
    </row>
    <row r="98" spans="4:4" x14ac:dyDescent="0.25">
      <c r="D98" s="235"/>
    </row>
    <row r="99" spans="4:4" x14ac:dyDescent="0.25">
      <c r="D99" s="235"/>
    </row>
    <row r="100" spans="4:4" x14ac:dyDescent="0.25">
      <c r="D100" s="235"/>
    </row>
    <row r="101" spans="4:4" x14ac:dyDescent="0.25">
      <c r="D101" s="235"/>
    </row>
    <row r="102" spans="4:4" x14ac:dyDescent="0.25">
      <c r="D102" s="235"/>
    </row>
    <row r="103" spans="4:4" x14ac:dyDescent="0.25">
      <c r="D103" s="235"/>
    </row>
    <row r="104" spans="4:4" x14ac:dyDescent="0.25">
      <c r="D104" s="235"/>
    </row>
    <row r="105" spans="4:4" x14ac:dyDescent="0.25">
      <c r="D105" s="235"/>
    </row>
    <row r="106" spans="4:4" x14ac:dyDescent="0.25">
      <c r="D106" s="235"/>
    </row>
    <row r="107" spans="4:4" x14ac:dyDescent="0.25">
      <c r="D107" s="235"/>
    </row>
    <row r="108" spans="4:4" x14ac:dyDescent="0.25">
      <c r="D108" s="235"/>
    </row>
    <row r="109" spans="4:4" x14ac:dyDescent="0.25">
      <c r="D109" s="235"/>
    </row>
    <row r="110" spans="4:4" x14ac:dyDescent="0.25">
      <c r="D110" s="235"/>
    </row>
    <row r="111" spans="4:4" x14ac:dyDescent="0.25">
      <c r="D111" s="235"/>
    </row>
    <row r="112" spans="4:4" x14ac:dyDescent="0.25">
      <c r="D112" s="235"/>
    </row>
    <row r="113" spans="4:4" x14ac:dyDescent="0.25">
      <c r="D113" s="235"/>
    </row>
    <row r="114" spans="4:4" x14ac:dyDescent="0.25">
      <c r="D114" s="235"/>
    </row>
    <row r="115" spans="4:4" x14ac:dyDescent="0.25">
      <c r="D115" s="235"/>
    </row>
    <row r="116" spans="4:4" x14ac:dyDescent="0.25">
      <c r="D116" s="235"/>
    </row>
    <row r="117" spans="4:4" x14ac:dyDescent="0.25">
      <c r="D117" s="235"/>
    </row>
    <row r="118" spans="4:4" x14ac:dyDescent="0.25">
      <c r="D118" s="235"/>
    </row>
    <row r="119" spans="4:4" x14ac:dyDescent="0.25">
      <c r="D119" s="235"/>
    </row>
    <row r="120" spans="4:4" x14ac:dyDescent="0.25">
      <c r="D120" s="235"/>
    </row>
    <row r="121" spans="4:4" x14ac:dyDescent="0.25">
      <c r="D121" s="235"/>
    </row>
    <row r="122" spans="4:4" x14ac:dyDescent="0.25">
      <c r="D122" s="235"/>
    </row>
    <row r="123" spans="4:4" x14ac:dyDescent="0.25">
      <c r="D123" s="235"/>
    </row>
    <row r="124" spans="4:4" x14ac:dyDescent="0.25">
      <c r="D124" s="235"/>
    </row>
    <row r="125" spans="4:4" x14ac:dyDescent="0.25">
      <c r="D125" s="235"/>
    </row>
    <row r="126" spans="4:4" x14ac:dyDescent="0.25">
      <c r="D126" s="235"/>
    </row>
    <row r="127" spans="4:4" x14ac:dyDescent="0.25">
      <c r="D127" s="235"/>
    </row>
    <row r="128" spans="4:4" x14ac:dyDescent="0.25">
      <c r="D128" s="235"/>
    </row>
    <row r="129" spans="4:4" x14ac:dyDescent="0.25">
      <c r="D129" s="235"/>
    </row>
    <row r="130" spans="4:4" x14ac:dyDescent="0.25">
      <c r="D130" s="235"/>
    </row>
    <row r="131" spans="4:4" x14ac:dyDescent="0.25">
      <c r="D131" s="235"/>
    </row>
    <row r="132" spans="4:4" x14ac:dyDescent="0.25">
      <c r="D132" s="235"/>
    </row>
    <row r="133" spans="4:4" x14ac:dyDescent="0.25">
      <c r="D133" s="235"/>
    </row>
    <row r="134" spans="4:4" x14ac:dyDescent="0.25">
      <c r="D134" s="235"/>
    </row>
    <row r="135" spans="4:4" x14ac:dyDescent="0.25">
      <c r="D135" s="235"/>
    </row>
    <row r="136" spans="4:4" x14ac:dyDescent="0.25">
      <c r="D136" s="235"/>
    </row>
    <row r="137" spans="4:4" x14ac:dyDescent="0.25">
      <c r="D137" s="235"/>
    </row>
    <row r="138" spans="4:4" x14ac:dyDescent="0.25">
      <c r="D138" s="235"/>
    </row>
    <row r="139" spans="4:4" x14ac:dyDescent="0.25">
      <c r="D139" s="235"/>
    </row>
    <row r="140" spans="4:4" x14ac:dyDescent="0.25">
      <c r="D140" s="235"/>
    </row>
    <row r="141" spans="4:4" x14ac:dyDescent="0.25">
      <c r="D141" s="235"/>
    </row>
    <row r="142" spans="4:4" x14ac:dyDescent="0.25">
      <c r="D142" s="235"/>
    </row>
    <row r="143" spans="4:4" x14ac:dyDescent="0.25">
      <c r="D143" s="235"/>
    </row>
    <row r="144" spans="4:4" x14ac:dyDescent="0.25">
      <c r="D144" s="235"/>
    </row>
    <row r="145" spans="4:4" x14ac:dyDescent="0.25">
      <c r="D145" s="235"/>
    </row>
    <row r="146" spans="4:4" x14ac:dyDescent="0.25">
      <c r="D146" s="235"/>
    </row>
    <row r="147" spans="4:4" x14ac:dyDescent="0.25">
      <c r="D147" s="235"/>
    </row>
    <row r="148" spans="4:4" x14ac:dyDescent="0.25">
      <c r="D148" s="235"/>
    </row>
    <row r="149" spans="4:4" x14ac:dyDescent="0.25">
      <c r="D149" s="235"/>
    </row>
    <row r="150" spans="4:4" x14ac:dyDescent="0.25">
      <c r="D150" s="235"/>
    </row>
    <row r="151" spans="4:4" x14ac:dyDescent="0.25">
      <c r="D151" s="235"/>
    </row>
    <row r="152" spans="4:4" x14ac:dyDescent="0.25">
      <c r="D152" s="235"/>
    </row>
    <row r="153" spans="4:4" x14ac:dyDescent="0.25">
      <c r="D153" s="235"/>
    </row>
    <row r="154" spans="4:4" x14ac:dyDescent="0.25">
      <c r="D154" s="235"/>
    </row>
    <row r="155" spans="4:4" x14ac:dyDescent="0.25">
      <c r="D155" s="235"/>
    </row>
    <row r="156" spans="4:4" x14ac:dyDescent="0.25">
      <c r="D156" s="235"/>
    </row>
    <row r="157" spans="4:4" x14ac:dyDescent="0.25">
      <c r="D157" s="235"/>
    </row>
    <row r="158" spans="4:4" x14ac:dyDescent="0.25">
      <c r="D158" s="235"/>
    </row>
    <row r="159" spans="4:4" x14ac:dyDescent="0.25">
      <c r="D159" s="235"/>
    </row>
    <row r="160" spans="4:4" x14ac:dyDescent="0.25">
      <c r="D160" s="235"/>
    </row>
    <row r="161" spans="4:4" x14ac:dyDescent="0.25">
      <c r="D161" s="235"/>
    </row>
    <row r="162" spans="4:4" x14ac:dyDescent="0.25">
      <c r="D162" s="235"/>
    </row>
    <row r="163" spans="4:4" x14ac:dyDescent="0.25">
      <c r="D163" s="235"/>
    </row>
    <row r="164" spans="4:4" x14ac:dyDescent="0.25">
      <c r="D164" s="235"/>
    </row>
    <row r="165" spans="4:4" x14ac:dyDescent="0.25">
      <c r="D165" s="235"/>
    </row>
    <row r="166" spans="4:4" x14ac:dyDescent="0.25">
      <c r="D166" s="235"/>
    </row>
    <row r="167" spans="4:4" x14ac:dyDescent="0.25">
      <c r="D167" s="235"/>
    </row>
    <row r="168" spans="4:4" x14ac:dyDescent="0.25">
      <c r="D168" s="235"/>
    </row>
    <row r="169" spans="4:4" x14ac:dyDescent="0.25">
      <c r="D169" s="235"/>
    </row>
    <row r="170" spans="4:4" x14ac:dyDescent="0.25">
      <c r="D170" s="235"/>
    </row>
    <row r="171" spans="4:4" x14ac:dyDescent="0.25">
      <c r="D171" s="235"/>
    </row>
    <row r="172" spans="4:4" x14ac:dyDescent="0.25">
      <c r="D172" s="235"/>
    </row>
    <row r="173" spans="4:4" x14ac:dyDescent="0.25">
      <c r="D173" s="235"/>
    </row>
    <row r="174" spans="4:4" x14ac:dyDescent="0.25">
      <c r="D174" s="235"/>
    </row>
    <row r="175" spans="4:4" x14ac:dyDescent="0.25">
      <c r="D175" s="235"/>
    </row>
    <row r="176" spans="4:4" x14ac:dyDescent="0.25">
      <c r="D176" s="235"/>
    </row>
    <row r="177" spans="4:4" x14ac:dyDescent="0.25">
      <c r="D177" s="235"/>
    </row>
    <row r="178" spans="4:4" x14ac:dyDescent="0.25">
      <c r="D178" s="235"/>
    </row>
    <row r="179" spans="4:4" x14ac:dyDescent="0.25">
      <c r="D179" s="235"/>
    </row>
    <row r="180" spans="4:4" x14ac:dyDescent="0.25">
      <c r="D180" s="235"/>
    </row>
    <row r="181" spans="4:4" x14ac:dyDescent="0.25">
      <c r="D181" s="235"/>
    </row>
    <row r="182" spans="4:4" x14ac:dyDescent="0.25">
      <c r="D182" s="235"/>
    </row>
    <row r="183" spans="4:4" x14ac:dyDescent="0.25">
      <c r="D183" s="235"/>
    </row>
    <row r="184" spans="4:4" x14ac:dyDescent="0.25">
      <c r="D184" s="235"/>
    </row>
    <row r="185" spans="4:4" x14ac:dyDescent="0.25">
      <c r="D185" s="235"/>
    </row>
    <row r="186" spans="4:4" x14ac:dyDescent="0.25">
      <c r="D186" s="235"/>
    </row>
    <row r="187" spans="4:4" x14ac:dyDescent="0.25">
      <c r="D187" s="235"/>
    </row>
    <row r="188" spans="4:4" x14ac:dyDescent="0.25">
      <c r="D188" s="235"/>
    </row>
    <row r="189" spans="4:4" x14ac:dyDescent="0.25">
      <c r="D189" s="235"/>
    </row>
    <row r="190" spans="4:4" x14ac:dyDescent="0.25">
      <c r="D190" s="235"/>
    </row>
    <row r="191" spans="4:4" x14ac:dyDescent="0.25">
      <c r="D191" s="235"/>
    </row>
    <row r="192" spans="4:4" x14ac:dyDescent="0.25">
      <c r="D192" s="235"/>
    </row>
    <row r="193" spans="4:4" x14ac:dyDescent="0.25">
      <c r="D193" s="235"/>
    </row>
    <row r="194" spans="4:4" x14ac:dyDescent="0.25">
      <c r="D194" s="235"/>
    </row>
    <row r="195" spans="4:4" x14ac:dyDescent="0.25">
      <c r="D195" s="235"/>
    </row>
    <row r="196" spans="4:4" x14ac:dyDescent="0.25">
      <c r="D196" s="235"/>
    </row>
    <row r="197" spans="4:4" x14ac:dyDescent="0.25">
      <c r="D197" s="235"/>
    </row>
    <row r="198" spans="4:4" x14ac:dyDescent="0.25">
      <c r="D198" s="235"/>
    </row>
    <row r="199" spans="4:4" x14ac:dyDescent="0.25">
      <c r="D199" s="235"/>
    </row>
    <row r="200" spans="4:4" x14ac:dyDescent="0.25">
      <c r="D200" s="235"/>
    </row>
    <row r="201" spans="4:4" x14ac:dyDescent="0.25">
      <c r="D201" s="235"/>
    </row>
    <row r="202" spans="4:4" x14ac:dyDescent="0.25">
      <c r="D202" s="235"/>
    </row>
    <row r="203" spans="4:4" x14ac:dyDescent="0.25">
      <c r="D203" s="235"/>
    </row>
    <row r="204" spans="4:4" x14ac:dyDescent="0.25">
      <c r="D204" s="235"/>
    </row>
    <row r="205" spans="4:4" x14ac:dyDescent="0.25">
      <c r="D205" s="235"/>
    </row>
    <row r="206" spans="4:4" x14ac:dyDescent="0.25">
      <c r="D206" s="235"/>
    </row>
    <row r="207" spans="4:4" x14ac:dyDescent="0.25">
      <c r="D207" s="235"/>
    </row>
    <row r="208" spans="4:4" x14ac:dyDescent="0.25">
      <c r="D208" s="235"/>
    </row>
    <row r="209" spans="4:4" x14ac:dyDescent="0.25">
      <c r="D209" s="235"/>
    </row>
    <row r="210" spans="4:4" x14ac:dyDescent="0.25">
      <c r="D210" s="235"/>
    </row>
    <row r="211" spans="4:4" x14ac:dyDescent="0.25">
      <c r="D211" s="235"/>
    </row>
    <row r="212" spans="4:4" x14ac:dyDescent="0.25">
      <c r="D212" s="235"/>
    </row>
    <row r="213" spans="4:4" x14ac:dyDescent="0.25">
      <c r="D213" s="235"/>
    </row>
    <row r="214" spans="4:4" x14ac:dyDescent="0.25">
      <c r="D214" s="235"/>
    </row>
    <row r="215" spans="4:4" x14ac:dyDescent="0.25">
      <c r="D215" s="235"/>
    </row>
    <row r="216" spans="4:4" x14ac:dyDescent="0.25">
      <c r="D216" s="235"/>
    </row>
    <row r="217" spans="4:4" x14ac:dyDescent="0.25">
      <c r="D217" s="235"/>
    </row>
    <row r="218" spans="4:4" x14ac:dyDescent="0.25">
      <c r="D218" s="235"/>
    </row>
    <row r="219" spans="4:4" x14ac:dyDescent="0.25">
      <c r="D219" s="235"/>
    </row>
    <row r="220" spans="4:4" x14ac:dyDescent="0.25">
      <c r="D220" s="235"/>
    </row>
    <row r="221" spans="4:4" x14ac:dyDescent="0.25">
      <c r="D221" s="235"/>
    </row>
    <row r="222" spans="4:4" x14ac:dyDescent="0.25">
      <c r="D222" s="235"/>
    </row>
    <row r="223" spans="4:4" x14ac:dyDescent="0.25">
      <c r="D223" s="235"/>
    </row>
    <row r="224" spans="4:4" x14ac:dyDescent="0.25">
      <c r="D224" s="235"/>
    </row>
    <row r="225" spans="4:4" x14ac:dyDescent="0.25">
      <c r="D225" s="235"/>
    </row>
    <row r="226" spans="4:4" x14ac:dyDescent="0.25">
      <c r="D226" s="235"/>
    </row>
    <row r="227" spans="4:4" x14ac:dyDescent="0.25">
      <c r="D227" s="235"/>
    </row>
    <row r="228" spans="4:4" x14ac:dyDescent="0.25">
      <c r="D228" s="235"/>
    </row>
    <row r="229" spans="4:4" x14ac:dyDescent="0.25">
      <c r="D229" s="235"/>
    </row>
    <row r="230" spans="4:4" x14ac:dyDescent="0.25">
      <c r="D230" s="235"/>
    </row>
    <row r="231" spans="4:4" x14ac:dyDescent="0.25">
      <c r="D231" s="235"/>
    </row>
    <row r="232" spans="4:4" x14ac:dyDescent="0.25">
      <c r="D232" s="235"/>
    </row>
    <row r="233" spans="4:4" x14ac:dyDescent="0.25">
      <c r="D233" s="235"/>
    </row>
    <row r="234" spans="4:4" x14ac:dyDescent="0.25">
      <c r="D234" s="235"/>
    </row>
    <row r="235" spans="4:4" x14ac:dyDescent="0.25">
      <c r="D235" s="235"/>
    </row>
    <row r="236" spans="4:4" x14ac:dyDescent="0.25">
      <c r="D236" s="235"/>
    </row>
    <row r="237" spans="4:4" x14ac:dyDescent="0.25">
      <c r="D237" s="235"/>
    </row>
    <row r="238" spans="4:4" x14ac:dyDescent="0.25">
      <c r="D238" s="235"/>
    </row>
    <row r="239" spans="4:4" x14ac:dyDescent="0.25">
      <c r="D239" s="235"/>
    </row>
    <row r="240" spans="4:4" x14ac:dyDescent="0.25">
      <c r="D240" s="235"/>
    </row>
    <row r="241" spans="4:4" x14ac:dyDescent="0.25">
      <c r="D241" s="235"/>
    </row>
    <row r="242" spans="4:4" x14ac:dyDescent="0.25">
      <c r="D242" s="235"/>
    </row>
    <row r="243" spans="4:4" x14ac:dyDescent="0.25">
      <c r="D243" s="235"/>
    </row>
    <row r="244" spans="4:4" x14ac:dyDescent="0.25">
      <c r="D244" s="235"/>
    </row>
    <row r="245" spans="4:4" x14ac:dyDescent="0.25">
      <c r="D245" s="235"/>
    </row>
    <row r="246" spans="4:4" x14ac:dyDescent="0.25">
      <c r="D246" s="235"/>
    </row>
    <row r="247" spans="4:4" x14ac:dyDescent="0.25">
      <c r="D247" s="235"/>
    </row>
    <row r="248" spans="4:4" x14ac:dyDescent="0.25">
      <c r="D248" s="235"/>
    </row>
    <row r="249" spans="4:4" x14ac:dyDescent="0.25">
      <c r="D249" s="235"/>
    </row>
    <row r="250" spans="4:4" x14ac:dyDescent="0.25">
      <c r="D250" s="235"/>
    </row>
    <row r="251" spans="4:4" x14ac:dyDescent="0.25">
      <c r="D251" s="235"/>
    </row>
  </sheetData>
  <mergeCells count="15">
    <mergeCell ref="A8:E8"/>
    <mergeCell ref="A6:E6"/>
    <mergeCell ref="A7:E7"/>
    <mergeCell ref="A2:L2"/>
    <mergeCell ref="A3:L3"/>
    <mergeCell ref="A22:E22"/>
    <mergeCell ref="A23:E23"/>
    <mergeCell ref="A25:E25"/>
    <mergeCell ref="A9:E9"/>
    <mergeCell ref="A10:E10"/>
    <mergeCell ref="A15:E15"/>
    <mergeCell ref="A21:E21"/>
    <mergeCell ref="A12:L12"/>
    <mergeCell ref="A18:L18"/>
    <mergeCell ref="A16:E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"/>
  <sheetViews>
    <sheetView workbookViewId="0">
      <selection activeCell="A2" sqref="A2"/>
    </sheetView>
  </sheetViews>
  <sheetFormatPr defaultRowHeight="12.75" x14ac:dyDescent="0.2"/>
  <cols>
    <col min="1" max="1" width="37.7109375" style="466" customWidth="1"/>
    <col min="2" max="3" width="18.140625" style="466" customWidth="1"/>
    <col min="4" max="4" width="17.42578125" style="466" customWidth="1"/>
    <col min="5" max="5" width="19.5703125" style="466" customWidth="1"/>
    <col min="6" max="16384" width="9.140625" style="466"/>
  </cols>
  <sheetData>
    <row r="1" spans="1:5" ht="28.5" customHeight="1" x14ac:dyDescent="0.25">
      <c r="A1" s="633" t="s">
        <v>267</v>
      </c>
      <c r="B1" s="633"/>
      <c r="C1" s="633"/>
      <c r="D1" s="633"/>
      <c r="E1" s="633"/>
    </row>
    <row r="2" spans="1:5" x14ac:dyDescent="0.2">
      <c r="E2" s="476" t="s">
        <v>260</v>
      </c>
    </row>
    <row r="3" spans="1:5" s="471" customFormat="1" ht="43.5" customHeight="1" x14ac:dyDescent="0.25">
      <c r="A3" s="475" t="s">
        <v>228</v>
      </c>
      <c r="B3" s="475" t="s">
        <v>243</v>
      </c>
      <c r="C3" s="475" t="s">
        <v>248</v>
      </c>
      <c r="D3" s="475" t="s">
        <v>249</v>
      </c>
      <c r="E3" s="475" t="s">
        <v>264</v>
      </c>
    </row>
    <row r="4" spans="1:5" s="471" customFormat="1" ht="16.5" customHeight="1" x14ac:dyDescent="0.25">
      <c r="A4" s="474" t="s">
        <v>28</v>
      </c>
      <c r="B4" s="473">
        <v>0</v>
      </c>
      <c r="C4" s="473">
        <f t="shared" ref="C4:C6" si="0">D4-B4</f>
        <v>750000</v>
      </c>
      <c r="D4" s="477">
        <v>750000</v>
      </c>
      <c r="E4" s="472"/>
    </row>
    <row r="5" spans="1:5" s="471" customFormat="1" ht="30.75" customHeight="1" x14ac:dyDescent="0.25">
      <c r="A5" s="474" t="s">
        <v>227</v>
      </c>
      <c r="B5" s="473">
        <v>0</v>
      </c>
      <c r="C5" s="473">
        <f t="shared" si="0"/>
        <v>103480</v>
      </c>
      <c r="D5" s="473">
        <v>103480</v>
      </c>
      <c r="E5" s="472"/>
    </row>
    <row r="6" spans="1:5" s="471" customFormat="1" ht="30.75" hidden="1" customHeight="1" x14ac:dyDescent="0.25">
      <c r="A6" s="474" t="s">
        <v>226</v>
      </c>
      <c r="B6" s="473">
        <v>0</v>
      </c>
      <c r="C6" s="473">
        <f t="shared" si="0"/>
        <v>0</v>
      </c>
      <c r="D6" s="473"/>
      <c r="E6" s="472" t="e">
        <f t="shared" ref="E6:E12" si="1">D6/B6*100</f>
        <v>#DIV/0!</v>
      </c>
    </row>
    <row r="7" spans="1:5" s="471" customFormat="1" ht="15.75" x14ac:dyDescent="0.25">
      <c r="A7" s="473" t="s">
        <v>194</v>
      </c>
      <c r="B7" s="473">
        <f>6573150-366045</f>
        <v>6207105</v>
      </c>
      <c r="C7" s="473">
        <f>D7-B7</f>
        <v>1152045</v>
      </c>
      <c r="D7" s="473">
        <v>7359150</v>
      </c>
      <c r="E7" s="472">
        <f t="shared" si="1"/>
        <v>118.56010168991824</v>
      </c>
    </row>
    <row r="8" spans="1:5" s="471" customFormat="1" ht="15.75" x14ac:dyDescent="0.25">
      <c r="A8" s="473" t="s">
        <v>195</v>
      </c>
      <c r="B8" s="473">
        <v>4307500</v>
      </c>
      <c r="C8" s="473">
        <f t="shared" ref="C8:C13" si="2">D8-B8</f>
        <v>5000</v>
      </c>
      <c r="D8" s="473">
        <v>4312500</v>
      </c>
      <c r="E8" s="472">
        <f t="shared" si="1"/>
        <v>100.11607661056297</v>
      </c>
    </row>
    <row r="9" spans="1:5" s="471" customFormat="1" ht="15.75" x14ac:dyDescent="0.25">
      <c r="A9" s="473" t="s">
        <v>225</v>
      </c>
      <c r="B9" s="473">
        <f>427442+8345+37000+2700</f>
        <v>475487</v>
      </c>
      <c r="C9" s="473">
        <f t="shared" si="2"/>
        <v>-59169</v>
      </c>
      <c r="D9" s="473">
        <v>416318</v>
      </c>
      <c r="E9" s="472">
        <f t="shared" si="1"/>
        <v>87.556126665923571</v>
      </c>
    </row>
    <row r="10" spans="1:5" s="471" customFormat="1" ht="15.75" x14ac:dyDescent="0.25">
      <c r="A10" s="473" t="s">
        <v>224</v>
      </c>
      <c r="B10" s="473"/>
      <c r="C10" s="473">
        <f t="shared" si="2"/>
        <v>0</v>
      </c>
      <c r="D10" s="473"/>
      <c r="E10" s="472"/>
    </row>
    <row r="11" spans="1:5" s="471" customFormat="1" ht="34.5" customHeight="1" x14ac:dyDescent="0.25">
      <c r="A11" s="473" t="s">
        <v>196</v>
      </c>
      <c r="B11" s="473"/>
      <c r="C11" s="473">
        <f t="shared" si="2"/>
        <v>695</v>
      </c>
      <c r="D11" s="473">
        <v>695</v>
      </c>
      <c r="E11" s="472"/>
    </row>
    <row r="12" spans="1:5" s="471" customFormat="1" ht="33" customHeight="1" x14ac:dyDescent="0.25">
      <c r="A12" s="474" t="s">
        <v>223</v>
      </c>
      <c r="B12" s="473">
        <v>80000</v>
      </c>
      <c r="C12" s="473">
        <f t="shared" si="2"/>
        <v>0</v>
      </c>
      <c r="D12" s="473">
        <v>80000</v>
      </c>
      <c r="E12" s="472">
        <f t="shared" si="1"/>
        <v>100</v>
      </c>
    </row>
    <row r="13" spans="1:5" s="471" customFormat="1" ht="15.75" x14ac:dyDescent="0.25">
      <c r="A13" s="474" t="s">
        <v>222</v>
      </c>
      <c r="B13" s="473">
        <v>0</v>
      </c>
      <c r="C13" s="473">
        <f t="shared" si="2"/>
        <v>0</v>
      </c>
      <c r="D13" s="473">
        <v>0</v>
      </c>
      <c r="E13" s="472"/>
    </row>
    <row r="14" spans="1:5" ht="15.75" x14ac:dyDescent="0.25">
      <c r="A14" s="470" t="s">
        <v>221</v>
      </c>
      <c r="B14" s="468">
        <f>SUM(B4:B13)</f>
        <v>11070092</v>
      </c>
      <c r="C14" s="468">
        <f>SUM(C7:C13)</f>
        <v>1098571</v>
      </c>
      <c r="D14" s="469">
        <f>SUM(D4:D13)</f>
        <v>13022143</v>
      </c>
      <c r="E14" s="467">
        <f>D14/B14*100</f>
        <v>117.63355715562255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6"/>
  <sheetViews>
    <sheetView zoomScaleNormal="100" workbookViewId="0">
      <selection activeCell="A3" sqref="A3"/>
    </sheetView>
  </sheetViews>
  <sheetFormatPr defaultRowHeight="15" x14ac:dyDescent="0.25"/>
  <cols>
    <col min="1" max="1" width="4.140625" style="128" customWidth="1"/>
    <col min="2" max="2" width="4.5703125" style="128" customWidth="1"/>
    <col min="3" max="3" width="6.7109375" style="128" customWidth="1"/>
    <col min="4" max="4" width="5.140625" style="128" customWidth="1"/>
    <col min="5" max="5" width="45.5703125" style="128" customWidth="1"/>
    <col min="6" max="6" width="12.28515625" style="128" hidden="1" customWidth="1"/>
    <col min="7" max="7" width="12.140625" style="128" hidden="1" customWidth="1"/>
    <col min="8" max="8" width="12.28515625" style="128" customWidth="1"/>
    <col min="9" max="10" width="10.85546875" style="128" customWidth="1"/>
    <col min="11" max="11" width="12.28515625" style="128" customWidth="1"/>
    <col min="12" max="12" width="10.85546875" style="128" customWidth="1"/>
    <col min="13" max="13" width="14.140625" style="128" hidden="1" customWidth="1"/>
    <col min="14" max="14" width="12.5703125" style="128" customWidth="1"/>
    <col min="15" max="15" width="9.140625" style="128" hidden="1" customWidth="1"/>
    <col min="16" max="16384" width="9.140625" style="128"/>
  </cols>
  <sheetData>
    <row r="1" spans="1:15" ht="16.5" customHeight="1" x14ac:dyDescent="0.25">
      <c r="A1" s="627"/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236"/>
      <c r="M1" s="236"/>
      <c r="N1" s="127"/>
    </row>
    <row r="2" spans="1:15" ht="58.5" customHeight="1" x14ac:dyDescent="0.25">
      <c r="A2" s="635" t="s">
        <v>266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</row>
    <row r="3" spans="1:15" ht="18" customHeight="1" thickBot="1" x14ac:dyDescent="0.3">
      <c r="A3" s="405"/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6" t="s">
        <v>261</v>
      </c>
    </row>
    <row r="4" spans="1:15" ht="61.5" customHeight="1" thickTop="1" thickBot="1" x14ac:dyDescent="0.3">
      <c r="A4" s="237" t="s">
        <v>15</v>
      </c>
      <c r="B4" s="238" t="s">
        <v>16</v>
      </c>
      <c r="C4" s="238" t="s">
        <v>17</v>
      </c>
      <c r="D4" s="239" t="s">
        <v>18</v>
      </c>
      <c r="E4" s="131" t="s">
        <v>19</v>
      </c>
      <c r="F4" s="132" t="s">
        <v>253</v>
      </c>
      <c r="G4" s="131" t="s">
        <v>183</v>
      </c>
      <c r="H4" s="132" t="s">
        <v>240</v>
      </c>
      <c r="I4" s="132" t="s">
        <v>183</v>
      </c>
      <c r="J4" s="132" t="s">
        <v>251</v>
      </c>
      <c r="K4" s="132" t="s">
        <v>255</v>
      </c>
      <c r="L4" s="133" t="s">
        <v>183</v>
      </c>
      <c r="M4" s="133" t="s">
        <v>211</v>
      </c>
      <c r="N4" s="134" t="s">
        <v>263</v>
      </c>
    </row>
    <row r="5" spans="1:15" ht="15" customHeight="1" thickTop="1" x14ac:dyDescent="0.25">
      <c r="A5" s="505"/>
      <c r="B5" s="506"/>
      <c r="C5" s="506"/>
      <c r="D5" s="335"/>
      <c r="E5" s="507"/>
      <c r="F5" s="399"/>
      <c r="G5" s="508"/>
      <c r="H5" s="510"/>
      <c r="I5" s="511"/>
      <c r="J5" s="511"/>
      <c r="K5" s="510"/>
      <c r="L5" s="511"/>
      <c r="M5" s="510"/>
      <c r="N5" s="509"/>
      <c r="O5" s="550"/>
    </row>
    <row r="6" spans="1:15" x14ac:dyDescent="0.25">
      <c r="A6" s="498">
        <v>6</v>
      </c>
      <c r="B6" s="264"/>
      <c r="C6" s="264"/>
      <c r="D6" s="499"/>
      <c r="E6" s="500" t="s">
        <v>4</v>
      </c>
      <c r="F6" s="501">
        <f>SUM(F7,F22,F32,F38,F50,F52)</f>
        <v>8167978.4000000013</v>
      </c>
      <c r="G6" s="502">
        <f>AVERAGE(F6/F6*100)</f>
        <v>100</v>
      </c>
      <c r="H6" s="501">
        <f>SUM(H7+H22+H32+H38+H50+H52)</f>
        <v>10990092</v>
      </c>
      <c r="I6" s="502">
        <f>AVERAGE(H6/H$6*100)</f>
        <v>100</v>
      </c>
      <c r="J6" s="574">
        <f>K6-H6</f>
        <v>1952051</v>
      </c>
      <c r="K6" s="501">
        <f>SUM(K7+K22+K32+K38+K50+K52)</f>
        <v>12942143</v>
      </c>
      <c r="L6" s="502">
        <f>AVERAGE(K6/K$6*100)</f>
        <v>100</v>
      </c>
      <c r="M6" s="503">
        <f>AVERAGE(K6/F6)*100</f>
        <v>158.44977014140974</v>
      </c>
      <c r="N6" s="504">
        <f>AVERAGE(K6/H6)*100</f>
        <v>117.76191682471813</v>
      </c>
    </row>
    <row r="7" spans="1:15" ht="26.25" x14ac:dyDescent="0.25">
      <c r="A7" s="242"/>
      <c r="B7" s="243">
        <v>63</v>
      </c>
      <c r="C7" s="244"/>
      <c r="D7" s="245"/>
      <c r="E7" s="175" t="s">
        <v>22</v>
      </c>
      <c r="F7" s="176">
        <f>SUM(F8,F11,F12,F15,F17)</f>
        <v>267941.88</v>
      </c>
      <c r="G7" s="246">
        <f>AVERAGE(F7/F6*100)</f>
        <v>3.2803940813555523</v>
      </c>
      <c r="H7" s="176">
        <f>SUM(H8,H11,H12,H15,H17)</f>
        <v>475487</v>
      </c>
      <c r="I7" s="240">
        <f t="shared" ref="I7:L56" si="0">AVERAGE(H7/H$6*100)</f>
        <v>4.3265060929426253</v>
      </c>
      <c r="J7" s="176">
        <f t="shared" ref="J7:J64" si="1">K7-H7</f>
        <v>44311</v>
      </c>
      <c r="K7" s="176">
        <f>SUM(K8,K11,K12,K15,K17)</f>
        <v>519798</v>
      </c>
      <c r="L7" s="240">
        <f t="shared" si="0"/>
        <v>4.0163209446843542</v>
      </c>
      <c r="M7" s="247">
        <f t="shared" ref="M7:M64" si="2">AVERAGE(K7/F7)*100</f>
        <v>193.99654880379282</v>
      </c>
      <c r="N7" s="248">
        <f t="shared" ref="N7:N64" si="3">AVERAGE(K7/H7)*100</f>
        <v>109.3190770725593</v>
      </c>
    </row>
    <row r="8" spans="1:15" x14ac:dyDescent="0.25">
      <c r="A8" s="249"/>
      <c r="B8" s="250"/>
      <c r="C8" s="244">
        <v>632</v>
      </c>
      <c r="D8" s="245"/>
      <c r="E8" s="251" t="s">
        <v>23</v>
      </c>
      <c r="F8" s="252">
        <f>SUM(F9:F10)</f>
        <v>0</v>
      </c>
      <c r="G8" s="246">
        <f>AVERAGE(F8/F6*100)</f>
        <v>0</v>
      </c>
      <c r="H8" s="252">
        <f>SUM(H9:H10)</f>
        <v>0</v>
      </c>
      <c r="I8" s="246">
        <f t="shared" si="0"/>
        <v>0</v>
      </c>
      <c r="J8" s="575">
        <f t="shared" si="1"/>
        <v>103480</v>
      </c>
      <c r="K8" s="252">
        <f>SUM(K9:K10)</f>
        <v>103480</v>
      </c>
      <c r="L8" s="246">
        <f t="shared" si="0"/>
        <v>0.79955846570386369</v>
      </c>
      <c r="M8" s="253" t="e">
        <f t="shared" si="2"/>
        <v>#DIV/0!</v>
      </c>
      <c r="N8" s="254"/>
      <c r="O8" s="128">
        <v>51</v>
      </c>
    </row>
    <row r="9" spans="1:15" x14ac:dyDescent="0.25">
      <c r="A9" s="249"/>
      <c r="B9" s="250"/>
      <c r="C9" s="244"/>
      <c r="D9" s="245">
        <v>6323</v>
      </c>
      <c r="E9" s="445" t="s">
        <v>217</v>
      </c>
      <c r="F9" s="252">
        <v>0</v>
      </c>
      <c r="G9" s="246"/>
      <c r="H9" s="252"/>
      <c r="I9" s="246">
        <f t="shared" si="0"/>
        <v>0</v>
      </c>
      <c r="J9" s="575">
        <f t="shared" si="1"/>
        <v>83880</v>
      </c>
      <c r="K9" s="252">
        <v>83880</v>
      </c>
      <c r="L9" s="246">
        <f t="shared" si="0"/>
        <v>0.64811523099381607</v>
      </c>
      <c r="M9" s="253"/>
      <c r="N9" s="254"/>
    </row>
    <row r="10" spans="1:15" x14ac:dyDescent="0.25">
      <c r="A10" s="249"/>
      <c r="B10" s="250"/>
      <c r="C10" s="244"/>
      <c r="D10" s="245">
        <v>6324</v>
      </c>
      <c r="E10" s="445" t="s">
        <v>25</v>
      </c>
      <c r="F10" s="252">
        <v>0</v>
      </c>
      <c r="G10" s="246"/>
      <c r="H10" s="252"/>
      <c r="I10" s="246">
        <f t="shared" si="0"/>
        <v>0</v>
      </c>
      <c r="J10" s="575">
        <f t="shared" si="1"/>
        <v>19600</v>
      </c>
      <c r="K10" s="252">
        <v>19600</v>
      </c>
      <c r="L10" s="246">
        <f t="shared" si="0"/>
        <v>0.15144323471004764</v>
      </c>
      <c r="M10" s="253"/>
      <c r="N10" s="254"/>
    </row>
    <row r="11" spans="1:15" ht="14.25" hidden="1" customHeight="1" x14ac:dyDescent="0.25">
      <c r="A11" s="249"/>
      <c r="B11" s="255"/>
      <c r="C11" s="251">
        <v>633</v>
      </c>
      <c r="D11" s="245"/>
      <c r="E11" s="256" t="s">
        <v>24</v>
      </c>
      <c r="F11" s="252"/>
      <c r="G11" s="246">
        <f>AVERAGE(F11/F6*100)</f>
        <v>0</v>
      </c>
      <c r="H11" s="252"/>
      <c r="I11" s="246">
        <f t="shared" si="0"/>
        <v>0</v>
      </c>
      <c r="J11" s="575">
        <f t="shared" si="1"/>
        <v>0</v>
      </c>
      <c r="K11" s="252"/>
      <c r="L11" s="246">
        <f t="shared" si="0"/>
        <v>0</v>
      </c>
      <c r="M11" s="253" t="e">
        <f t="shared" si="2"/>
        <v>#DIV/0!</v>
      </c>
      <c r="N11" s="254" t="e">
        <f t="shared" si="3"/>
        <v>#DIV/0!</v>
      </c>
    </row>
    <row r="12" spans="1:15" x14ac:dyDescent="0.25">
      <c r="A12" s="257"/>
      <c r="B12" s="258"/>
      <c r="C12" s="251">
        <v>634</v>
      </c>
      <c r="D12" s="259"/>
      <c r="E12" s="256" t="s">
        <v>26</v>
      </c>
      <c r="F12" s="252">
        <f>SUM(F13:F14)</f>
        <v>229709.74000000002</v>
      </c>
      <c r="G12" s="246">
        <f>AVERAGE(F12/F6*100)</f>
        <v>2.8123206104462763</v>
      </c>
      <c r="H12" s="252">
        <f>SUM(H13:H14)</f>
        <v>384787</v>
      </c>
      <c r="I12" s="246">
        <f t="shared" si="0"/>
        <v>3.5012172782539035</v>
      </c>
      <c r="J12" s="575">
        <f t="shared" si="1"/>
        <v>-79169</v>
      </c>
      <c r="K12" s="252">
        <f>SUM(K13:K14)</f>
        <v>305618</v>
      </c>
      <c r="L12" s="246">
        <f t="shared" si="0"/>
        <v>2.3614172706946599</v>
      </c>
      <c r="M12" s="253">
        <f t="shared" si="2"/>
        <v>133.04529446596388</v>
      </c>
      <c r="N12" s="254">
        <f t="shared" si="3"/>
        <v>79.425240457707773</v>
      </c>
    </row>
    <row r="13" spans="1:15" x14ac:dyDescent="0.25">
      <c r="A13" s="257"/>
      <c r="B13" s="258"/>
      <c r="C13" s="251"/>
      <c r="D13" s="259">
        <v>6341</v>
      </c>
      <c r="E13" s="446" t="s">
        <v>218</v>
      </c>
      <c r="F13" s="252">
        <v>228300.48</v>
      </c>
      <c r="G13" s="246"/>
      <c r="H13" s="252">
        <f>299938+81169</f>
        <v>381107</v>
      </c>
      <c r="I13" s="246">
        <f t="shared" si="0"/>
        <v>3.4677325722114065</v>
      </c>
      <c r="J13" s="575">
        <f t="shared" si="1"/>
        <v>-79169</v>
      </c>
      <c r="K13" s="252">
        <f>299938+81169-81169+2000</f>
        <v>301938</v>
      </c>
      <c r="L13" s="246">
        <f t="shared" si="0"/>
        <v>2.3329830307082839</v>
      </c>
      <c r="M13" s="253"/>
      <c r="N13" s="254">
        <f t="shared" si="3"/>
        <v>79.22656891634108</v>
      </c>
    </row>
    <row r="14" spans="1:15" x14ac:dyDescent="0.25">
      <c r="A14" s="257"/>
      <c r="B14" s="258"/>
      <c r="C14" s="251"/>
      <c r="D14" s="259">
        <v>6342</v>
      </c>
      <c r="E14" s="446" t="s">
        <v>219</v>
      </c>
      <c r="F14" s="252">
        <v>1409.26</v>
      </c>
      <c r="G14" s="246"/>
      <c r="H14" s="252">
        <v>3680</v>
      </c>
      <c r="I14" s="246">
        <f t="shared" si="0"/>
        <v>3.3484706042497189E-2</v>
      </c>
      <c r="J14" s="575">
        <f t="shared" si="1"/>
        <v>0</v>
      </c>
      <c r="K14" s="252">
        <v>3680</v>
      </c>
      <c r="L14" s="246">
        <f t="shared" si="0"/>
        <v>2.843423998637629E-2</v>
      </c>
      <c r="M14" s="253"/>
      <c r="N14" s="254">
        <f t="shared" si="3"/>
        <v>100</v>
      </c>
    </row>
    <row r="15" spans="1:15" ht="26.25" hidden="1" x14ac:dyDescent="0.25">
      <c r="A15" s="257"/>
      <c r="B15" s="258"/>
      <c r="C15" s="251">
        <v>636</v>
      </c>
      <c r="D15" s="259"/>
      <c r="E15" s="256" t="s">
        <v>213</v>
      </c>
      <c r="F15" s="252"/>
      <c r="G15" s="246">
        <f>AVERAGE(F15/F6*100)</f>
        <v>0</v>
      </c>
      <c r="H15" s="252"/>
      <c r="I15" s="246">
        <f t="shared" si="0"/>
        <v>0</v>
      </c>
      <c r="J15" s="575">
        <f t="shared" si="1"/>
        <v>0</v>
      </c>
      <c r="K15" s="252"/>
      <c r="L15" s="246">
        <f t="shared" si="0"/>
        <v>0</v>
      </c>
      <c r="M15" s="253" t="e">
        <f t="shared" si="2"/>
        <v>#DIV/0!</v>
      </c>
      <c r="N15" s="254" t="e">
        <f t="shared" si="3"/>
        <v>#DIV/0!</v>
      </c>
    </row>
    <row r="16" spans="1:15" hidden="1" x14ac:dyDescent="0.25">
      <c r="A16" s="257"/>
      <c r="B16" s="258"/>
      <c r="C16" s="251"/>
      <c r="D16" s="259">
        <v>6361</v>
      </c>
      <c r="E16" s="446" t="s">
        <v>220</v>
      </c>
      <c r="F16" s="252"/>
      <c r="G16" s="246"/>
      <c r="H16" s="252"/>
      <c r="I16" s="246">
        <f t="shared" si="0"/>
        <v>0</v>
      </c>
      <c r="J16" s="575">
        <f t="shared" si="1"/>
        <v>0</v>
      </c>
      <c r="K16" s="252"/>
      <c r="L16" s="246">
        <f t="shared" si="0"/>
        <v>0</v>
      </c>
      <c r="M16" s="253"/>
      <c r="N16" s="254" t="e">
        <f t="shared" si="3"/>
        <v>#DIV/0!</v>
      </c>
    </row>
    <row r="17" spans="1:15" x14ac:dyDescent="0.25">
      <c r="A17" s="257"/>
      <c r="B17" s="258"/>
      <c r="C17" s="251">
        <v>639</v>
      </c>
      <c r="D17" s="259"/>
      <c r="E17" s="256" t="s">
        <v>202</v>
      </c>
      <c r="F17" s="252">
        <f>SUM(F18:F21)</f>
        <v>38232.14</v>
      </c>
      <c r="G17" s="246">
        <f>AVERAGE(F17/F6*100)</f>
        <v>0.46807347090927659</v>
      </c>
      <c r="H17" s="252">
        <f>SUM(H18:H21)</f>
        <v>90700</v>
      </c>
      <c r="I17" s="246">
        <f t="shared" si="0"/>
        <v>0.82528881468872139</v>
      </c>
      <c r="J17" s="575">
        <f t="shared" si="1"/>
        <v>20000</v>
      </c>
      <c r="K17" s="252">
        <f>SUM(K18:K21)</f>
        <v>110700</v>
      </c>
      <c r="L17" s="246">
        <f t="shared" si="0"/>
        <v>0.85534520828583027</v>
      </c>
      <c r="M17" s="253">
        <f t="shared" si="2"/>
        <v>289.54696232018404</v>
      </c>
      <c r="N17" s="254">
        <f t="shared" si="3"/>
        <v>122.05071664829109</v>
      </c>
      <c r="O17" s="128">
        <v>52</v>
      </c>
    </row>
    <row r="18" spans="1:15" ht="26.25" x14ac:dyDescent="0.25">
      <c r="A18" s="257"/>
      <c r="B18" s="258"/>
      <c r="C18" s="251"/>
      <c r="D18" s="259">
        <v>6391</v>
      </c>
      <c r="E18" s="256" t="s">
        <v>203</v>
      </c>
      <c r="F18" s="252">
        <v>18953.599999999999</v>
      </c>
      <c r="G18" s="246"/>
      <c r="H18" s="252">
        <f>44000+2700</f>
        <v>46700</v>
      </c>
      <c r="I18" s="246">
        <f t="shared" si="0"/>
        <v>0.42492819896321155</v>
      </c>
      <c r="J18" s="575">
        <f t="shared" si="1"/>
        <v>1000</v>
      </c>
      <c r="K18" s="252">
        <f>44000+2700+10000-9000</f>
        <v>47700</v>
      </c>
      <c r="L18" s="246">
        <f t="shared" si="0"/>
        <v>0.36856338243210574</v>
      </c>
      <c r="M18" s="253">
        <f t="shared" si="2"/>
        <v>251.66722944453826</v>
      </c>
      <c r="N18" s="254">
        <f t="shared" si="3"/>
        <v>102.14132762312633</v>
      </c>
    </row>
    <row r="19" spans="1:15" ht="26.25" x14ac:dyDescent="0.25">
      <c r="A19" s="257"/>
      <c r="B19" s="258"/>
      <c r="C19" s="251"/>
      <c r="D19" s="259">
        <v>6392</v>
      </c>
      <c r="E19" s="256" t="s">
        <v>204</v>
      </c>
      <c r="F19" s="252">
        <v>9639.27</v>
      </c>
      <c r="G19" s="246"/>
      <c r="H19" s="266">
        <v>44000</v>
      </c>
      <c r="I19" s="246">
        <f t="shared" si="0"/>
        <v>0.40036061572550985</v>
      </c>
      <c r="J19" s="575">
        <f t="shared" si="1"/>
        <v>9000</v>
      </c>
      <c r="K19" s="266">
        <f>44000+9000</f>
        <v>53000</v>
      </c>
      <c r="L19" s="246">
        <f t="shared" si="0"/>
        <v>0.40951486936900638</v>
      </c>
      <c r="M19" s="253">
        <f t="shared" si="2"/>
        <v>549.83416794010327</v>
      </c>
      <c r="N19" s="254">
        <f t="shared" si="3"/>
        <v>120.45454545454545</v>
      </c>
    </row>
    <row r="20" spans="1:15" ht="26.25" x14ac:dyDescent="0.25">
      <c r="A20" s="257"/>
      <c r="B20" s="258"/>
      <c r="C20" s="251"/>
      <c r="D20" s="259">
        <v>6393</v>
      </c>
      <c r="E20" s="256" t="s">
        <v>205</v>
      </c>
      <c r="F20" s="252">
        <v>9639.27</v>
      </c>
      <c r="G20" s="246"/>
      <c r="H20" s="252">
        <v>0</v>
      </c>
      <c r="I20" s="246">
        <f t="shared" si="0"/>
        <v>0</v>
      </c>
      <c r="J20" s="575">
        <f t="shared" si="1"/>
        <v>10000</v>
      </c>
      <c r="K20" s="252">
        <v>10000</v>
      </c>
      <c r="L20" s="246">
        <f t="shared" si="0"/>
        <v>7.726695648471818E-2</v>
      </c>
      <c r="M20" s="253">
        <f t="shared" si="2"/>
        <v>103.74229583775534</v>
      </c>
      <c r="N20" s="254"/>
    </row>
    <row r="21" spans="1:15" ht="26.25" x14ac:dyDescent="0.25">
      <c r="A21" s="257"/>
      <c r="B21" s="258"/>
      <c r="C21" s="251"/>
      <c r="D21" s="259">
        <v>6394</v>
      </c>
      <c r="E21" s="256" t="s">
        <v>206</v>
      </c>
      <c r="F21" s="252"/>
      <c r="G21" s="246"/>
      <c r="H21" s="252"/>
      <c r="I21" s="246">
        <f t="shared" si="0"/>
        <v>0</v>
      </c>
      <c r="J21" s="575">
        <f t="shared" si="1"/>
        <v>0</v>
      </c>
      <c r="K21" s="252"/>
      <c r="L21" s="246">
        <f t="shared" si="0"/>
        <v>0</v>
      </c>
      <c r="M21" s="253" t="e">
        <f t="shared" si="2"/>
        <v>#DIV/0!</v>
      </c>
      <c r="N21" s="254"/>
    </row>
    <row r="22" spans="1:15" x14ac:dyDescent="0.25">
      <c r="A22" s="249"/>
      <c r="B22" s="260">
        <v>64</v>
      </c>
      <c r="C22" s="244"/>
      <c r="D22" s="245"/>
      <c r="E22" s="261" t="s">
        <v>31</v>
      </c>
      <c r="F22" s="262">
        <f>SUM(F23+F28)</f>
        <v>714.85</v>
      </c>
      <c r="G22" s="240">
        <f>AVERAGE(F22/F6*100)</f>
        <v>8.7518595788647034E-3</v>
      </c>
      <c r="H22" s="262">
        <f>SUM(H23+H28)</f>
        <v>1150</v>
      </c>
      <c r="I22" s="240">
        <f t="shared" si="0"/>
        <v>1.0463970638280373E-2</v>
      </c>
      <c r="J22" s="176">
        <f t="shared" si="1"/>
        <v>1000</v>
      </c>
      <c r="K22" s="262">
        <f>SUM(K23+K28)</f>
        <v>2150</v>
      </c>
      <c r="L22" s="240">
        <f t="shared" si="0"/>
        <v>1.661239564421441E-2</v>
      </c>
      <c r="M22" s="247">
        <f t="shared" si="2"/>
        <v>300.76239770581242</v>
      </c>
      <c r="N22" s="241">
        <f t="shared" si="3"/>
        <v>186.95652173913044</v>
      </c>
      <c r="O22" s="128">
        <v>31</v>
      </c>
    </row>
    <row r="23" spans="1:15" x14ac:dyDescent="0.25">
      <c r="A23" s="249"/>
      <c r="B23" s="255"/>
      <c r="C23" s="244">
        <v>641</v>
      </c>
      <c r="D23" s="245"/>
      <c r="E23" s="256" t="s">
        <v>32</v>
      </c>
      <c r="F23" s="252">
        <f>SUM(F24:F27)</f>
        <v>714.85</v>
      </c>
      <c r="G23" s="246">
        <f>AVERAGE(F23/F6*100)</f>
        <v>8.7518595788647034E-3</v>
      </c>
      <c r="H23" s="252">
        <f>SUM(H24:H27)</f>
        <v>1150</v>
      </c>
      <c r="I23" s="246">
        <f t="shared" si="0"/>
        <v>1.0463970638280373E-2</v>
      </c>
      <c r="J23" s="575">
        <f t="shared" si="1"/>
        <v>1000</v>
      </c>
      <c r="K23" s="252">
        <f>SUM(K24:K27)</f>
        <v>2150</v>
      </c>
      <c r="L23" s="246">
        <f t="shared" si="0"/>
        <v>1.661239564421441E-2</v>
      </c>
      <c r="M23" s="253">
        <f t="shared" si="2"/>
        <v>300.76239770581242</v>
      </c>
      <c r="N23" s="254">
        <f t="shared" si="3"/>
        <v>186.95652173913044</v>
      </c>
    </row>
    <row r="24" spans="1:15" x14ac:dyDescent="0.25">
      <c r="A24" s="249"/>
      <c r="B24" s="263"/>
      <c r="C24" s="244"/>
      <c r="D24" s="245">
        <v>6413</v>
      </c>
      <c r="E24" s="251" t="s">
        <v>33</v>
      </c>
      <c r="F24" s="252">
        <v>106.77</v>
      </c>
      <c r="G24" s="246">
        <f t="shared" ref="G24:G31" si="4">AVERAGE(F24/F23*100)</f>
        <v>14.93600055955795</v>
      </c>
      <c r="H24" s="252">
        <v>1000</v>
      </c>
      <c r="I24" s="246">
        <f t="shared" si="0"/>
        <v>9.0991049028524978E-3</v>
      </c>
      <c r="J24" s="575">
        <f t="shared" si="1"/>
        <v>0</v>
      </c>
      <c r="K24" s="252">
        <v>1000</v>
      </c>
      <c r="L24" s="246">
        <f t="shared" si="0"/>
        <v>7.7266956484718183E-3</v>
      </c>
      <c r="M24" s="253">
        <f t="shared" si="2"/>
        <v>936.59267584527493</v>
      </c>
      <c r="N24" s="254">
        <f t="shared" si="3"/>
        <v>100</v>
      </c>
    </row>
    <row r="25" spans="1:15" x14ac:dyDescent="0.25">
      <c r="A25" s="249"/>
      <c r="B25" s="263"/>
      <c r="C25" s="244"/>
      <c r="D25" s="245">
        <v>6414</v>
      </c>
      <c r="E25" s="251" t="s">
        <v>34</v>
      </c>
      <c r="F25" s="252">
        <v>608.08000000000004</v>
      </c>
      <c r="G25" s="246">
        <f t="shared" si="4"/>
        <v>569.52327432799484</v>
      </c>
      <c r="H25" s="252"/>
      <c r="I25" s="246">
        <f t="shared" si="0"/>
        <v>0</v>
      </c>
      <c r="J25" s="575">
        <f t="shared" si="1"/>
        <v>1000</v>
      </c>
      <c r="K25" s="252">
        <v>1000</v>
      </c>
      <c r="L25" s="246">
        <f t="shared" si="0"/>
        <v>7.7266956484718183E-3</v>
      </c>
      <c r="M25" s="253">
        <f t="shared" si="2"/>
        <v>164.45204578344953</v>
      </c>
      <c r="N25" s="254"/>
    </row>
    <row r="26" spans="1:15" x14ac:dyDescent="0.25">
      <c r="A26" s="249"/>
      <c r="B26" s="263"/>
      <c r="C26" s="244"/>
      <c r="D26" s="245">
        <v>6415</v>
      </c>
      <c r="E26" s="251" t="s">
        <v>212</v>
      </c>
      <c r="F26" s="252"/>
      <c r="G26" s="246">
        <f t="shared" si="4"/>
        <v>0</v>
      </c>
      <c r="H26" s="252">
        <v>150</v>
      </c>
      <c r="I26" s="246">
        <f t="shared" si="0"/>
        <v>1.3648657354278745E-3</v>
      </c>
      <c r="J26" s="575">
        <f t="shared" si="1"/>
        <v>0</v>
      </c>
      <c r="K26" s="252">
        <v>150</v>
      </c>
      <c r="L26" s="246">
        <f t="shared" si="0"/>
        <v>1.1590043472707728E-3</v>
      </c>
      <c r="M26" s="253" t="e">
        <f t="shared" si="2"/>
        <v>#DIV/0!</v>
      </c>
      <c r="N26" s="254">
        <f t="shared" si="3"/>
        <v>100</v>
      </c>
    </row>
    <row r="27" spans="1:15" hidden="1" x14ac:dyDescent="0.25">
      <c r="A27" s="249"/>
      <c r="B27" s="263"/>
      <c r="C27" s="244"/>
      <c r="D27" s="245">
        <v>6419</v>
      </c>
      <c r="E27" s="256" t="s">
        <v>36</v>
      </c>
      <c r="F27" s="252"/>
      <c r="G27" s="246" t="e">
        <f t="shared" si="4"/>
        <v>#DIV/0!</v>
      </c>
      <c r="H27" s="252"/>
      <c r="I27" s="246">
        <f t="shared" si="0"/>
        <v>0</v>
      </c>
      <c r="J27" s="575">
        <f t="shared" si="1"/>
        <v>0</v>
      </c>
      <c r="K27" s="252"/>
      <c r="L27" s="246">
        <f t="shared" si="0"/>
        <v>0</v>
      </c>
      <c r="M27" s="253" t="e">
        <f t="shared" si="2"/>
        <v>#DIV/0!</v>
      </c>
      <c r="N27" s="254" t="e">
        <f t="shared" si="3"/>
        <v>#DIV/0!</v>
      </c>
    </row>
    <row r="28" spans="1:15" hidden="1" x14ac:dyDescent="0.25">
      <c r="A28" s="249"/>
      <c r="B28" s="264"/>
      <c r="C28" s="244">
        <v>642</v>
      </c>
      <c r="D28" s="245"/>
      <c r="E28" s="256" t="s">
        <v>37</v>
      </c>
      <c r="F28" s="252">
        <v>0</v>
      </c>
      <c r="G28" s="246">
        <f>AVERAGE(F28/F6*100)</f>
        <v>0</v>
      </c>
      <c r="H28" s="252">
        <v>0</v>
      </c>
      <c r="I28" s="246">
        <f t="shared" si="0"/>
        <v>0</v>
      </c>
      <c r="J28" s="575">
        <f t="shared" si="1"/>
        <v>0</v>
      </c>
      <c r="K28" s="252">
        <v>0</v>
      </c>
      <c r="L28" s="246">
        <f t="shared" si="0"/>
        <v>0</v>
      </c>
      <c r="M28" s="253" t="e">
        <f t="shared" si="2"/>
        <v>#DIV/0!</v>
      </c>
      <c r="N28" s="254" t="e">
        <f t="shared" si="3"/>
        <v>#DIV/0!</v>
      </c>
    </row>
    <row r="29" spans="1:15" hidden="1" x14ac:dyDescent="0.25">
      <c r="A29" s="249"/>
      <c r="B29" s="244"/>
      <c r="C29" s="244"/>
      <c r="D29" s="245">
        <v>6422</v>
      </c>
      <c r="E29" s="251" t="s">
        <v>38</v>
      </c>
      <c r="F29" s="252"/>
      <c r="G29" s="246" t="e">
        <f t="shared" si="4"/>
        <v>#DIV/0!</v>
      </c>
      <c r="H29" s="252"/>
      <c r="I29" s="246">
        <f t="shared" si="0"/>
        <v>0</v>
      </c>
      <c r="J29" s="575">
        <f t="shared" si="1"/>
        <v>0</v>
      </c>
      <c r="K29" s="252"/>
      <c r="L29" s="246">
        <f t="shared" si="0"/>
        <v>0</v>
      </c>
      <c r="M29" s="253" t="e">
        <f t="shared" si="2"/>
        <v>#DIV/0!</v>
      </c>
      <c r="N29" s="241" t="e">
        <f t="shared" si="3"/>
        <v>#DIV/0!</v>
      </c>
    </row>
    <row r="30" spans="1:15" hidden="1" x14ac:dyDescent="0.25">
      <c r="A30" s="249"/>
      <c r="B30" s="244"/>
      <c r="C30" s="244"/>
      <c r="D30" s="245">
        <v>6429</v>
      </c>
      <c r="E30" s="256" t="s">
        <v>39</v>
      </c>
      <c r="F30" s="252"/>
      <c r="G30" s="246" t="e">
        <f t="shared" si="4"/>
        <v>#DIV/0!</v>
      </c>
      <c r="H30" s="252"/>
      <c r="I30" s="246">
        <f t="shared" si="0"/>
        <v>0</v>
      </c>
      <c r="J30" s="575">
        <f t="shared" si="1"/>
        <v>0</v>
      </c>
      <c r="K30" s="252"/>
      <c r="L30" s="246">
        <f t="shared" si="0"/>
        <v>0</v>
      </c>
      <c r="M30" s="253" t="e">
        <f t="shared" si="2"/>
        <v>#DIV/0!</v>
      </c>
      <c r="N30" s="241" t="e">
        <f t="shared" si="3"/>
        <v>#DIV/0!</v>
      </c>
    </row>
    <row r="31" spans="1:15" ht="26.25" hidden="1" x14ac:dyDescent="0.25">
      <c r="A31" s="249"/>
      <c r="B31" s="244"/>
      <c r="C31" s="260"/>
      <c r="D31" s="265">
        <v>6436</v>
      </c>
      <c r="E31" s="256" t="s">
        <v>40</v>
      </c>
      <c r="F31" s="252"/>
      <c r="G31" s="246" t="e">
        <f t="shared" si="4"/>
        <v>#DIV/0!</v>
      </c>
      <c r="H31" s="252"/>
      <c r="I31" s="246">
        <f t="shared" si="0"/>
        <v>0</v>
      </c>
      <c r="J31" s="575">
        <f t="shared" si="1"/>
        <v>0</v>
      </c>
      <c r="K31" s="252"/>
      <c r="L31" s="246">
        <f t="shared" si="0"/>
        <v>0</v>
      </c>
      <c r="M31" s="253" t="e">
        <f t="shared" si="2"/>
        <v>#DIV/0!</v>
      </c>
      <c r="N31" s="241" t="e">
        <f t="shared" si="3"/>
        <v>#DIV/0!</v>
      </c>
    </row>
    <row r="32" spans="1:15" ht="26.25" x14ac:dyDescent="0.25">
      <c r="A32" s="249"/>
      <c r="B32" s="243">
        <v>65</v>
      </c>
      <c r="C32" s="244"/>
      <c r="D32" s="245"/>
      <c r="E32" s="261" t="s">
        <v>41</v>
      </c>
      <c r="F32" s="262">
        <f>SUM(F33+F34)</f>
        <v>2951799.1</v>
      </c>
      <c r="G32" s="240">
        <f>AVERAGE(F32/F6*100)</f>
        <v>36.138674166915031</v>
      </c>
      <c r="H32" s="262">
        <f>SUM(H33+H34)</f>
        <v>4282500</v>
      </c>
      <c r="I32" s="240">
        <f t="shared" si="0"/>
        <v>38.96691674646582</v>
      </c>
      <c r="J32" s="176">
        <f t="shared" si="1"/>
        <v>0</v>
      </c>
      <c r="K32" s="262">
        <f>SUM(K33+K34)</f>
        <v>4282500</v>
      </c>
      <c r="L32" s="240">
        <f t="shared" si="0"/>
        <v>33.089574114580564</v>
      </c>
      <c r="M32" s="247">
        <f t="shared" si="2"/>
        <v>145.08101178023938</v>
      </c>
      <c r="N32" s="241">
        <f t="shared" si="3"/>
        <v>100</v>
      </c>
    </row>
    <row r="33" spans="1:15" hidden="1" x14ac:dyDescent="0.25">
      <c r="A33" s="249"/>
      <c r="B33" s="255"/>
      <c r="C33" s="244">
        <v>651</v>
      </c>
      <c r="D33" s="245"/>
      <c r="E33" s="256" t="s">
        <v>42</v>
      </c>
      <c r="F33" s="252">
        <v>0</v>
      </c>
      <c r="G33" s="246">
        <f>AVERAGE(F33/F6*100)</f>
        <v>0</v>
      </c>
      <c r="H33" s="252">
        <v>0</v>
      </c>
      <c r="I33" s="246">
        <f t="shared" si="0"/>
        <v>0</v>
      </c>
      <c r="J33" s="575">
        <f t="shared" si="1"/>
        <v>0</v>
      </c>
      <c r="K33" s="252">
        <v>0</v>
      </c>
      <c r="L33" s="246">
        <f t="shared" si="0"/>
        <v>0</v>
      </c>
      <c r="M33" s="253" t="e">
        <f t="shared" si="2"/>
        <v>#DIV/0!</v>
      </c>
      <c r="N33" s="254" t="e">
        <f t="shared" si="3"/>
        <v>#DIV/0!</v>
      </c>
    </row>
    <row r="34" spans="1:15" ht="26.25" x14ac:dyDescent="0.25">
      <c r="A34" s="249"/>
      <c r="B34" s="264"/>
      <c r="C34" s="244">
        <v>652</v>
      </c>
      <c r="D34" s="245"/>
      <c r="E34" s="251" t="s">
        <v>49</v>
      </c>
      <c r="F34" s="266">
        <f>SUM(F35:F37)</f>
        <v>2951799.1</v>
      </c>
      <c r="G34" s="246">
        <f>AVERAGE(F34/F6*100)</f>
        <v>36.138674166915031</v>
      </c>
      <c r="H34" s="266">
        <f>SUM(H35:H37)</f>
        <v>4282500</v>
      </c>
      <c r="I34" s="246">
        <f t="shared" si="0"/>
        <v>38.96691674646582</v>
      </c>
      <c r="J34" s="575">
        <f t="shared" si="1"/>
        <v>0</v>
      </c>
      <c r="K34" s="266">
        <f>SUM(K35:K37)</f>
        <v>4282500</v>
      </c>
      <c r="L34" s="246">
        <f t="shared" si="0"/>
        <v>33.089574114580564</v>
      </c>
      <c r="M34" s="253">
        <f t="shared" si="2"/>
        <v>145.08101178023938</v>
      </c>
      <c r="N34" s="254">
        <f t="shared" si="3"/>
        <v>100</v>
      </c>
    </row>
    <row r="35" spans="1:15" x14ac:dyDescent="0.25">
      <c r="A35" s="249"/>
      <c r="B35" s="264"/>
      <c r="C35" s="244"/>
      <c r="D35" s="245">
        <v>6526</v>
      </c>
      <c r="E35" s="251" t="s">
        <v>207</v>
      </c>
      <c r="F35" s="266">
        <v>2951799.1</v>
      </c>
      <c r="G35" s="246"/>
      <c r="H35" s="266">
        <v>4162500</v>
      </c>
      <c r="I35" s="246">
        <f t="shared" si="0"/>
        <v>37.875024158123516</v>
      </c>
      <c r="J35" s="575">
        <f t="shared" si="1"/>
        <v>0</v>
      </c>
      <c r="K35" s="266">
        <v>4162500</v>
      </c>
      <c r="L35" s="246">
        <f t="shared" si="0"/>
        <v>32.162370636763946</v>
      </c>
      <c r="M35" s="253"/>
      <c r="N35" s="254">
        <f t="shared" si="3"/>
        <v>100</v>
      </c>
      <c r="O35" s="128">
        <v>43</v>
      </c>
    </row>
    <row r="36" spans="1:15" ht="26.25" x14ac:dyDescent="0.25">
      <c r="A36" s="249"/>
      <c r="B36" s="264"/>
      <c r="C36" s="244"/>
      <c r="D36" s="245">
        <v>6526</v>
      </c>
      <c r="E36" s="251" t="s">
        <v>49</v>
      </c>
      <c r="F36" s="266"/>
      <c r="G36" s="246"/>
      <c r="H36" s="266">
        <v>50000</v>
      </c>
      <c r="I36" s="246">
        <f t="shared" si="0"/>
        <v>0.45495524514262481</v>
      </c>
      <c r="J36" s="575">
        <f t="shared" si="1"/>
        <v>0</v>
      </c>
      <c r="K36" s="266">
        <v>50000</v>
      </c>
      <c r="L36" s="246">
        <f t="shared" si="0"/>
        <v>0.38633478242359093</v>
      </c>
      <c r="M36" s="253"/>
      <c r="N36" s="254">
        <f t="shared" si="3"/>
        <v>100</v>
      </c>
      <c r="O36" s="128">
        <v>43</v>
      </c>
    </row>
    <row r="37" spans="1:15" x14ac:dyDescent="0.25">
      <c r="A37" s="249"/>
      <c r="B37" s="264"/>
      <c r="C37" s="244"/>
      <c r="D37" s="245">
        <v>6526</v>
      </c>
      <c r="E37" s="251" t="s">
        <v>208</v>
      </c>
      <c r="F37" s="266"/>
      <c r="G37" s="246"/>
      <c r="H37" s="266">
        <v>70000</v>
      </c>
      <c r="I37" s="246">
        <f t="shared" si="0"/>
        <v>0.63693734319967477</v>
      </c>
      <c r="J37" s="575">
        <f t="shared" si="1"/>
        <v>0</v>
      </c>
      <c r="K37" s="266">
        <v>70000</v>
      </c>
      <c r="L37" s="246">
        <f t="shared" si="0"/>
        <v>0.54086869539302729</v>
      </c>
      <c r="M37" s="253"/>
      <c r="N37" s="254">
        <f t="shared" si="3"/>
        <v>100</v>
      </c>
      <c r="O37" s="128">
        <v>43</v>
      </c>
    </row>
    <row r="38" spans="1:15" ht="26.25" x14ac:dyDescent="0.25">
      <c r="A38" s="249"/>
      <c r="B38" s="267">
        <v>66</v>
      </c>
      <c r="C38" s="244"/>
      <c r="D38" s="245"/>
      <c r="E38" s="268" t="s">
        <v>50</v>
      </c>
      <c r="F38" s="262">
        <f>SUM(F40+F41+F47)</f>
        <v>4930422.9400000013</v>
      </c>
      <c r="G38" s="240">
        <f>AVERAGE(F38/F6*100)</f>
        <v>60.362830293478744</v>
      </c>
      <c r="H38" s="262">
        <f>SUM(H40+H41+H47)</f>
        <v>6205955</v>
      </c>
      <c r="I38" s="240">
        <f t="shared" si="0"/>
        <v>56.468635567381966</v>
      </c>
      <c r="J38" s="176">
        <f t="shared" si="1"/>
        <v>1151740</v>
      </c>
      <c r="K38" s="262">
        <f>SUM(K40+K41+K47)</f>
        <v>7357695</v>
      </c>
      <c r="L38" s="240">
        <f t="shared" si="0"/>
        <v>56.850669939282852</v>
      </c>
      <c r="M38" s="247">
        <f t="shared" si="2"/>
        <v>149.23050394536736</v>
      </c>
      <c r="N38" s="241">
        <f t="shared" si="3"/>
        <v>118.55862635162518</v>
      </c>
    </row>
    <row r="39" spans="1:15" x14ac:dyDescent="0.25">
      <c r="A39" s="249"/>
      <c r="B39" s="269"/>
      <c r="C39" s="244">
        <v>661</v>
      </c>
      <c r="D39" s="245"/>
      <c r="E39" s="270" t="s">
        <v>250</v>
      </c>
      <c r="F39" s="262"/>
      <c r="G39" s="240"/>
      <c r="H39" s="252">
        <f>SUM(H40:H41)</f>
        <v>6205955</v>
      </c>
      <c r="I39" s="246">
        <f t="shared" si="0"/>
        <v>56.468635567381966</v>
      </c>
      <c r="J39" s="575">
        <f t="shared" si="1"/>
        <v>1151045</v>
      </c>
      <c r="K39" s="252">
        <f>SUM(K40:K41)</f>
        <v>7357000</v>
      </c>
      <c r="L39" s="246">
        <f t="shared" si="0"/>
        <v>56.845299885807165</v>
      </c>
      <c r="M39" s="253"/>
      <c r="N39" s="254">
        <f t="shared" si="3"/>
        <v>118.54742743058884</v>
      </c>
    </row>
    <row r="40" spans="1:15" x14ac:dyDescent="0.25">
      <c r="A40" s="249"/>
      <c r="B40" s="269"/>
      <c r="C40" s="244"/>
      <c r="D40" s="244">
        <v>6614</v>
      </c>
      <c r="E40" s="270" t="s">
        <v>51</v>
      </c>
      <c r="F40" s="252">
        <v>82260.25</v>
      </c>
      <c r="G40" s="246">
        <f>AVERAGE(F40/F6*100)</f>
        <v>1.0071066054729036</v>
      </c>
      <c r="H40" s="252">
        <v>95000</v>
      </c>
      <c r="I40" s="246">
        <f t="shared" si="0"/>
        <v>0.86441496577098709</v>
      </c>
      <c r="J40" s="575">
        <f t="shared" si="1"/>
        <v>0</v>
      </c>
      <c r="K40" s="252">
        <v>95000</v>
      </c>
      <c r="L40" s="246">
        <f t="shared" si="0"/>
        <v>0.73403608660482267</v>
      </c>
      <c r="M40" s="253">
        <f t="shared" si="2"/>
        <v>115.48712774395895</v>
      </c>
      <c r="N40" s="254">
        <f t="shared" si="3"/>
        <v>100</v>
      </c>
      <c r="O40" s="128">
        <v>31</v>
      </c>
    </row>
    <row r="41" spans="1:15" x14ac:dyDescent="0.25">
      <c r="A41" s="249"/>
      <c r="B41" s="271"/>
      <c r="C41" s="244"/>
      <c r="D41" s="244">
        <v>6615</v>
      </c>
      <c r="E41" s="270" t="s">
        <v>52</v>
      </c>
      <c r="F41" s="252">
        <f>SUM(F42:F46)</f>
        <v>4847468.790000001</v>
      </c>
      <c r="G41" s="246">
        <f>AVERAGE(F41/F6*100)</f>
        <v>59.347228317841783</v>
      </c>
      <c r="H41" s="252">
        <f>SUM(H42:H46)</f>
        <v>6110955</v>
      </c>
      <c r="I41" s="246">
        <f t="shared" si="0"/>
        <v>55.604220601610976</v>
      </c>
      <c r="J41" s="575">
        <f t="shared" si="1"/>
        <v>1151045</v>
      </c>
      <c r="K41" s="252">
        <f>SUM(K42:K46)</f>
        <v>7262000</v>
      </c>
      <c r="L41" s="246">
        <f t="shared" si="0"/>
        <v>56.111263799202341</v>
      </c>
      <c r="M41" s="253">
        <f t="shared" si="2"/>
        <v>149.81014452286959</v>
      </c>
      <c r="N41" s="254">
        <f t="shared" si="3"/>
        <v>118.83576298630902</v>
      </c>
      <c r="O41" s="128">
        <v>31</v>
      </c>
    </row>
    <row r="42" spans="1:15" x14ac:dyDescent="0.25">
      <c r="A42" s="249"/>
      <c r="B42" s="271"/>
      <c r="C42" s="244"/>
      <c r="D42" s="245"/>
      <c r="E42" s="270" t="s">
        <v>53</v>
      </c>
      <c r="F42" s="252">
        <v>2240769.9500000002</v>
      </c>
      <c r="G42" s="246">
        <f>AVERAGE(F42/F6*100)</f>
        <v>27.433592992851203</v>
      </c>
      <c r="H42" s="252">
        <v>2750000</v>
      </c>
      <c r="I42" s="246">
        <f t="shared" si="0"/>
        <v>25.022538482844364</v>
      </c>
      <c r="J42" s="575">
        <f>K42-H42</f>
        <v>650000</v>
      </c>
      <c r="K42" s="252">
        <v>3400000</v>
      </c>
      <c r="L42" s="246">
        <f t="shared" si="0"/>
        <v>26.270765204804182</v>
      </c>
      <c r="M42" s="253">
        <f t="shared" si="2"/>
        <v>151.7335592616279</v>
      </c>
      <c r="N42" s="254">
        <f t="shared" si="3"/>
        <v>123.63636363636363</v>
      </c>
    </row>
    <row r="43" spans="1:15" x14ac:dyDescent="0.25">
      <c r="A43" s="249"/>
      <c r="B43" s="271"/>
      <c r="C43" s="244"/>
      <c r="D43" s="245"/>
      <c r="E43" s="270" t="s">
        <v>54</v>
      </c>
      <c r="F43" s="252">
        <v>1276618.3600000001</v>
      </c>
      <c r="G43" s="246">
        <f>AVERAGE(F43/F6*100)</f>
        <v>15.629551126139118</v>
      </c>
      <c r="H43" s="252">
        <v>1600000</v>
      </c>
      <c r="I43" s="246">
        <f t="shared" si="0"/>
        <v>14.558567844563994</v>
      </c>
      <c r="J43" s="575">
        <f t="shared" si="1"/>
        <v>100000</v>
      </c>
      <c r="K43" s="252">
        <v>1700000</v>
      </c>
      <c r="L43" s="246">
        <f t="shared" si="0"/>
        <v>13.135382602402091</v>
      </c>
      <c r="M43" s="253">
        <f t="shared" si="2"/>
        <v>133.16430761656912</v>
      </c>
      <c r="N43" s="254">
        <f t="shared" si="3"/>
        <v>106.25</v>
      </c>
    </row>
    <row r="44" spans="1:15" x14ac:dyDescent="0.25">
      <c r="A44" s="249"/>
      <c r="B44" s="271"/>
      <c r="C44" s="244"/>
      <c r="D44" s="245"/>
      <c r="E44" s="270" t="s">
        <v>56</v>
      </c>
      <c r="F44" s="252">
        <v>648704.46</v>
      </c>
      <c r="G44" s="246">
        <f>AVERAGE(F44/F6*100)</f>
        <v>7.9420442639760145</v>
      </c>
      <c r="H44" s="252">
        <v>1100000</v>
      </c>
      <c r="I44" s="246">
        <f t="shared" si="0"/>
        <v>10.009015393137746</v>
      </c>
      <c r="J44" s="575">
        <f t="shared" si="1"/>
        <v>0</v>
      </c>
      <c r="K44" s="252">
        <v>1100000</v>
      </c>
      <c r="L44" s="246">
        <f t="shared" si="0"/>
        <v>8.4993652133190007</v>
      </c>
      <c r="M44" s="253">
        <f t="shared" si="2"/>
        <v>169.5687432147453</v>
      </c>
      <c r="N44" s="254">
        <f t="shared" si="3"/>
        <v>100</v>
      </c>
    </row>
    <row r="45" spans="1:15" x14ac:dyDescent="0.25">
      <c r="A45" s="249"/>
      <c r="B45" s="271"/>
      <c r="C45" s="244"/>
      <c r="D45" s="245"/>
      <c r="E45" s="270" t="s">
        <v>57</v>
      </c>
      <c r="F45" s="252">
        <v>276827.86</v>
      </c>
      <c r="G45" s="246">
        <f>AVERAGE(F45/F6*100)</f>
        <v>3.3891845257573152</v>
      </c>
      <c r="H45" s="252">
        <v>527000</v>
      </c>
      <c r="I45" s="246">
        <f t="shared" si="0"/>
        <v>4.7952282838032652</v>
      </c>
      <c r="J45" s="575">
        <f t="shared" si="1"/>
        <v>0</v>
      </c>
      <c r="K45" s="252">
        <v>527000</v>
      </c>
      <c r="L45" s="246">
        <f t="shared" si="0"/>
        <v>4.0719686067446483</v>
      </c>
      <c r="M45" s="253">
        <f t="shared" si="2"/>
        <v>190.37101251297469</v>
      </c>
      <c r="N45" s="254">
        <f t="shared" si="3"/>
        <v>100</v>
      </c>
    </row>
    <row r="46" spans="1:15" x14ac:dyDescent="0.25">
      <c r="A46" s="249"/>
      <c r="B46" s="271"/>
      <c r="C46" s="244"/>
      <c r="D46" s="245"/>
      <c r="E46" s="270" t="s">
        <v>58</v>
      </c>
      <c r="F46" s="252">
        <v>404548.16</v>
      </c>
      <c r="G46" s="246">
        <f>AVERAGE(F46/F6*100)</f>
        <v>4.9528554091181229</v>
      </c>
      <c r="H46" s="252">
        <f>500000-366045</f>
        <v>133955</v>
      </c>
      <c r="I46" s="246">
        <f t="shared" si="0"/>
        <v>1.2188705972616061</v>
      </c>
      <c r="J46" s="575">
        <f t="shared" si="1"/>
        <v>401045</v>
      </c>
      <c r="K46" s="252">
        <v>535000</v>
      </c>
      <c r="L46" s="246">
        <f t="shared" si="0"/>
        <v>4.133782171932423</v>
      </c>
      <c r="M46" s="253">
        <f t="shared" si="2"/>
        <v>132.24630659548669</v>
      </c>
      <c r="N46" s="254">
        <f t="shared" si="3"/>
        <v>399.38785413011828</v>
      </c>
    </row>
    <row r="47" spans="1:15" x14ac:dyDescent="0.25">
      <c r="A47" s="249"/>
      <c r="B47" s="264"/>
      <c r="C47" s="244">
        <v>663</v>
      </c>
      <c r="D47" s="245"/>
      <c r="E47" s="251" t="s">
        <v>59</v>
      </c>
      <c r="F47" s="252">
        <f>SUM(F48:F49)</f>
        <v>693.9</v>
      </c>
      <c r="G47" s="246">
        <f>AVERAGE(F47/F6*100)</f>
        <v>8.4953701640543017E-3</v>
      </c>
      <c r="H47" s="252">
        <f>SUM(H48:H49)</f>
        <v>0</v>
      </c>
      <c r="I47" s="246">
        <f t="shared" si="0"/>
        <v>0</v>
      </c>
      <c r="J47" s="575">
        <f t="shared" si="1"/>
        <v>695</v>
      </c>
      <c r="K47" s="252">
        <f>SUM(K48:K49)</f>
        <v>695</v>
      </c>
      <c r="L47" s="246">
        <f t="shared" si="0"/>
        <v>5.370053475687914E-3</v>
      </c>
      <c r="M47" s="253">
        <f t="shared" si="2"/>
        <v>100.15852428303791</v>
      </c>
      <c r="N47" s="254"/>
      <c r="O47" s="128">
        <v>61</v>
      </c>
    </row>
    <row r="48" spans="1:15" x14ac:dyDescent="0.25">
      <c r="A48" s="249"/>
      <c r="B48" s="264"/>
      <c r="C48" s="244"/>
      <c r="D48" s="245">
        <v>6631</v>
      </c>
      <c r="E48" s="251" t="s">
        <v>126</v>
      </c>
      <c r="F48" s="252">
        <v>693.9</v>
      </c>
      <c r="G48" s="246"/>
      <c r="H48" s="252"/>
      <c r="I48" s="246">
        <f t="shared" si="0"/>
        <v>0</v>
      </c>
      <c r="J48" s="575">
        <f t="shared" si="1"/>
        <v>695</v>
      </c>
      <c r="K48" s="252">
        <v>695</v>
      </c>
      <c r="L48" s="246">
        <f t="shared" si="0"/>
        <v>5.370053475687914E-3</v>
      </c>
      <c r="M48" s="253">
        <f t="shared" si="2"/>
        <v>100.15852428303791</v>
      </c>
      <c r="N48" s="254"/>
    </row>
    <row r="49" spans="1:15" x14ac:dyDescent="0.25">
      <c r="A49" s="249"/>
      <c r="B49" s="264"/>
      <c r="C49" s="244"/>
      <c r="D49" s="245">
        <v>6632</v>
      </c>
      <c r="E49" s="251" t="s">
        <v>60</v>
      </c>
      <c r="F49" s="252"/>
      <c r="G49" s="246"/>
      <c r="H49" s="252"/>
      <c r="I49" s="246">
        <f t="shared" si="0"/>
        <v>0</v>
      </c>
      <c r="J49" s="575">
        <f t="shared" si="1"/>
        <v>0</v>
      </c>
      <c r="K49" s="252"/>
      <c r="L49" s="246">
        <f t="shared" si="0"/>
        <v>0</v>
      </c>
      <c r="M49" s="253"/>
      <c r="N49" s="254"/>
    </row>
    <row r="50" spans="1:15" x14ac:dyDescent="0.25">
      <c r="A50" s="249"/>
      <c r="B50" s="260">
        <v>67</v>
      </c>
      <c r="C50" s="244"/>
      <c r="D50" s="245"/>
      <c r="E50" s="175" t="s">
        <v>61</v>
      </c>
      <c r="F50" s="262">
        <f>SUM(F51)</f>
        <v>0</v>
      </c>
      <c r="G50" s="240">
        <f>AVERAGE(F50/F6*100)</f>
        <v>0</v>
      </c>
      <c r="H50" s="262">
        <f>SUM(H51)</f>
        <v>0</v>
      </c>
      <c r="I50" s="240">
        <f t="shared" si="0"/>
        <v>0</v>
      </c>
      <c r="J50" s="176">
        <f t="shared" si="1"/>
        <v>750000</v>
      </c>
      <c r="K50" s="262">
        <f>SUM(K51)</f>
        <v>750000</v>
      </c>
      <c r="L50" s="240">
        <f t="shared" si="0"/>
        <v>5.7950217363538634</v>
      </c>
      <c r="M50" s="247" t="e">
        <f t="shared" si="2"/>
        <v>#DIV/0!</v>
      </c>
      <c r="N50" s="241"/>
    </row>
    <row r="51" spans="1:15" x14ac:dyDescent="0.25">
      <c r="A51" s="249"/>
      <c r="B51" s="244"/>
      <c r="C51" s="244">
        <v>671</v>
      </c>
      <c r="D51" s="245"/>
      <c r="E51" s="251" t="s">
        <v>62</v>
      </c>
      <c r="F51" s="252">
        <v>0</v>
      </c>
      <c r="G51" s="246">
        <f>AVERAGE(F51/F6*100)</f>
        <v>0</v>
      </c>
      <c r="H51" s="252"/>
      <c r="I51" s="246">
        <f t="shared" si="0"/>
        <v>0</v>
      </c>
      <c r="J51" s="575">
        <f t="shared" si="1"/>
        <v>750000</v>
      </c>
      <c r="K51" s="252">
        <v>750000</v>
      </c>
      <c r="L51" s="246">
        <f t="shared" si="0"/>
        <v>5.7950217363538634</v>
      </c>
      <c r="M51" s="253" t="e">
        <f t="shared" si="2"/>
        <v>#DIV/0!</v>
      </c>
      <c r="N51" s="254"/>
    </row>
    <row r="52" spans="1:15" x14ac:dyDescent="0.25">
      <c r="A52" s="249"/>
      <c r="B52" s="260">
        <v>68</v>
      </c>
      <c r="C52" s="244"/>
      <c r="D52" s="245"/>
      <c r="E52" s="175" t="s">
        <v>63</v>
      </c>
      <c r="F52" s="176">
        <f>SUM(F53+F55)</f>
        <v>17099.629999999997</v>
      </c>
      <c r="G52" s="240">
        <f>AVERAGE(F52/F6*100)</f>
        <v>0.20934959867180838</v>
      </c>
      <c r="H52" s="176">
        <f>SUM(H53+H55)</f>
        <v>25000</v>
      </c>
      <c r="I52" s="240">
        <f t="shared" si="0"/>
        <v>0.2274776225713124</v>
      </c>
      <c r="J52" s="176">
        <f t="shared" si="1"/>
        <v>5000</v>
      </c>
      <c r="K52" s="176">
        <f>SUM(K53+K55)</f>
        <v>30000</v>
      </c>
      <c r="L52" s="240">
        <f t="shared" si="0"/>
        <v>0.23180086945415451</v>
      </c>
      <c r="M52" s="247">
        <f t="shared" si="2"/>
        <v>175.44239261317352</v>
      </c>
      <c r="N52" s="241">
        <f t="shared" si="3"/>
        <v>120</v>
      </c>
      <c r="O52" s="128">
        <v>43</v>
      </c>
    </row>
    <row r="53" spans="1:15" x14ac:dyDescent="0.25">
      <c r="A53" s="249"/>
      <c r="B53" s="255"/>
      <c r="C53" s="244">
        <v>681</v>
      </c>
      <c r="D53" s="245"/>
      <c r="E53" s="251" t="s">
        <v>64</v>
      </c>
      <c r="F53" s="252">
        <f>SUM(F54)</f>
        <v>10285.799999999999</v>
      </c>
      <c r="G53" s="246">
        <f>AVERAGE(F53/F6*100)</f>
        <v>0.12592834476643569</v>
      </c>
      <c r="H53" s="252">
        <f>SUM(H54)</f>
        <v>10000</v>
      </c>
      <c r="I53" s="246">
        <f t="shared" si="0"/>
        <v>9.0991049028524965E-2</v>
      </c>
      <c r="J53" s="575">
        <f t="shared" si="1"/>
        <v>5000</v>
      </c>
      <c r="K53" s="252">
        <f>SUM(K54)</f>
        <v>15000</v>
      </c>
      <c r="L53" s="246">
        <f t="shared" si="0"/>
        <v>0.11590043472707726</v>
      </c>
      <c r="M53" s="253">
        <f t="shared" si="2"/>
        <v>145.83211806568278</v>
      </c>
      <c r="N53" s="254">
        <f t="shared" si="3"/>
        <v>150</v>
      </c>
    </row>
    <row r="54" spans="1:15" x14ac:dyDescent="0.25">
      <c r="A54" s="249"/>
      <c r="B54" s="263"/>
      <c r="C54" s="244"/>
      <c r="D54" s="245">
        <v>6819</v>
      </c>
      <c r="E54" s="251" t="s">
        <v>188</v>
      </c>
      <c r="F54" s="252">
        <v>10285.799999999999</v>
      </c>
      <c r="G54" s="246"/>
      <c r="H54" s="252">
        <v>10000</v>
      </c>
      <c r="I54" s="246"/>
      <c r="J54" s="575">
        <f t="shared" si="1"/>
        <v>5000</v>
      </c>
      <c r="K54" s="252">
        <v>15000</v>
      </c>
      <c r="L54" s="246"/>
      <c r="M54" s="253"/>
      <c r="N54" s="254"/>
    </row>
    <row r="55" spans="1:15" ht="22.5" customHeight="1" x14ac:dyDescent="0.25">
      <c r="A55" s="272"/>
      <c r="B55" s="264"/>
      <c r="C55" s="244">
        <v>683</v>
      </c>
      <c r="D55" s="245"/>
      <c r="E55" s="251" t="s">
        <v>65</v>
      </c>
      <c r="F55" s="252">
        <f>SUM(F56)</f>
        <v>6813.83</v>
      </c>
      <c r="G55" s="246">
        <f>AVERAGE(F55/F6*100)</f>
        <v>8.3421253905372708E-2</v>
      </c>
      <c r="H55" s="252">
        <f>SUM(H56)</f>
        <v>15000</v>
      </c>
      <c r="I55" s="246">
        <f t="shared" si="0"/>
        <v>0.13648657354278745</v>
      </c>
      <c r="J55" s="575">
        <f t="shared" si="1"/>
        <v>0</v>
      </c>
      <c r="K55" s="252">
        <f>SUM(K56)</f>
        <v>15000</v>
      </c>
      <c r="L55" s="246">
        <f t="shared" si="0"/>
        <v>0.11590043472707726</v>
      </c>
      <c r="M55" s="253">
        <f t="shared" si="2"/>
        <v>220.14050834846185</v>
      </c>
      <c r="N55" s="254">
        <f t="shared" si="3"/>
        <v>100</v>
      </c>
    </row>
    <row r="56" spans="1:15" ht="22.5" customHeight="1" x14ac:dyDescent="0.25">
      <c r="A56" s="272"/>
      <c r="B56" s="264"/>
      <c r="C56" s="244"/>
      <c r="D56" s="245">
        <v>6831</v>
      </c>
      <c r="E56" s="251" t="s">
        <v>65</v>
      </c>
      <c r="F56" s="252">
        <v>6813.83</v>
      </c>
      <c r="G56" s="246"/>
      <c r="H56" s="252">
        <v>15000</v>
      </c>
      <c r="I56" s="246">
        <f t="shared" si="0"/>
        <v>0.13648657354278745</v>
      </c>
      <c r="J56" s="575">
        <f t="shared" si="1"/>
        <v>0</v>
      </c>
      <c r="K56" s="252">
        <v>15000</v>
      </c>
      <c r="L56" s="246">
        <f t="shared" si="0"/>
        <v>0.11590043472707726</v>
      </c>
      <c r="M56" s="253"/>
      <c r="N56" s="254">
        <f t="shared" si="3"/>
        <v>100</v>
      </c>
    </row>
    <row r="57" spans="1:15" ht="25.5" customHeight="1" x14ac:dyDescent="0.25">
      <c r="A57" s="273">
        <v>7</v>
      </c>
      <c r="B57" s="274"/>
      <c r="C57" s="260"/>
      <c r="D57" s="275"/>
      <c r="E57" s="175" t="s">
        <v>66</v>
      </c>
      <c r="F57" s="262">
        <f>SUM(F58)</f>
        <v>2928</v>
      </c>
      <c r="G57" s="240">
        <f>AVERAGE(F57/F6*100)</f>
        <v>3.5847303415983557E-2</v>
      </c>
      <c r="H57" s="262">
        <f>SUM(H58)</f>
        <v>80000</v>
      </c>
      <c r="I57" s="240">
        <f>AVERAGE(H57/H$57*100)</f>
        <v>100</v>
      </c>
      <c r="J57" s="176">
        <f t="shared" si="1"/>
        <v>0</v>
      </c>
      <c r="K57" s="262">
        <f>SUM(K58)</f>
        <v>80000</v>
      </c>
      <c r="L57" s="240">
        <f>AVERAGE(K57/K$57*100)</f>
        <v>100</v>
      </c>
      <c r="M57" s="247">
        <f t="shared" si="2"/>
        <v>2732.2404371584698</v>
      </c>
      <c r="N57" s="241">
        <f t="shared" si="3"/>
        <v>100</v>
      </c>
    </row>
    <row r="58" spans="1:15" ht="14.25" customHeight="1" x14ac:dyDescent="0.25">
      <c r="A58" s="276"/>
      <c r="B58" s="274">
        <v>72</v>
      </c>
      <c r="C58" s="260"/>
      <c r="D58" s="275"/>
      <c r="E58" s="175" t="s">
        <v>67</v>
      </c>
      <c r="F58" s="176">
        <f>SUM(F61+F64)</f>
        <v>2928</v>
      </c>
      <c r="G58" s="240">
        <f>AVERAGE(F58/F6*100)</f>
        <v>3.5847303415983557E-2</v>
      </c>
      <c r="H58" s="176">
        <f>SUM(H59+H61+H64)</f>
        <v>80000</v>
      </c>
      <c r="I58" s="240">
        <f>AVERAGE(H58/H$57*100)</f>
        <v>100</v>
      </c>
      <c r="J58" s="176">
        <f t="shared" si="1"/>
        <v>0</v>
      </c>
      <c r="K58" s="176">
        <f>SUM(K59+K61+K64)</f>
        <v>80000</v>
      </c>
      <c r="L58" s="240">
        <f>AVERAGE(K58/K$57*100)</f>
        <v>100</v>
      </c>
      <c r="M58" s="247">
        <f t="shared" si="2"/>
        <v>2732.2404371584698</v>
      </c>
      <c r="N58" s="241">
        <f t="shared" si="3"/>
        <v>100</v>
      </c>
      <c r="O58" s="128">
        <v>71</v>
      </c>
    </row>
    <row r="59" spans="1:15" ht="14.25" customHeight="1" x14ac:dyDescent="0.25">
      <c r="A59" s="277"/>
      <c r="B59" s="278"/>
      <c r="C59" s="255">
        <v>722</v>
      </c>
      <c r="D59" s="279"/>
      <c r="E59" s="280" t="s">
        <v>245</v>
      </c>
      <c r="F59" s="546"/>
      <c r="G59" s="240"/>
      <c r="H59" s="547">
        <f>SUM(H60)</f>
        <v>0</v>
      </c>
      <c r="I59" s="548">
        <f>AVERAGE(H59/H$57*100)</f>
        <v>0</v>
      </c>
      <c r="J59" s="547">
        <f t="shared" si="1"/>
        <v>0</v>
      </c>
      <c r="K59" s="547">
        <f>SUM(K60)</f>
        <v>0</v>
      </c>
      <c r="L59" s="246">
        <f>AVERAGE(K59/K$57*100)</f>
        <v>0</v>
      </c>
      <c r="M59" s="547" t="e">
        <f t="shared" ref="M59" si="5">SUM(M61)</f>
        <v>#DIV/0!</v>
      </c>
      <c r="N59" s="254"/>
    </row>
    <row r="60" spans="1:15" ht="14.25" customHeight="1" x14ac:dyDescent="0.25">
      <c r="A60" s="277"/>
      <c r="B60" s="278"/>
      <c r="C60" s="255"/>
      <c r="D60" s="279">
        <v>7227</v>
      </c>
      <c r="E60" s="280" t="s">
        <v>150</v>
      </c>
      <c r="F60" s="546"/>
      <c r="G60" s="240"/>
      <c r="H60" s="547"/>
      <c r="I60" s="547"/>
      <c r="J60" s="547">
        <f t="shared" si="1"/>
        <v>0</v>
      </c>
      <c r="K60" s="547"/>
      <c r="L60" s="547"/>
      <c r="M60" s="547"/>
      <c r="N60" s="551"/>
      <c r="O60" s="552">
        <v>1180</v>
      </c>
    </row>
    <row r="61" spans="1:15" ht="15" customHeight="1" x14ac:dyDescent="0.25">
      <c r="A61" s="277"/>
      <c r="B61" s="278"/>
      <c r="C61" s="255">
        <v>723</v>
      </c>
      <c r="D61" s="279"/>
      <c r="E61" s="280" t="s">
        <v>68</v>
      </c>
      <c r="F61" s="281">
        <f>SUM(F62)</f>
        <v>0</v>
      </c>
      <c r="G61" s="246">
        <f>AVERAGE(F61/F6*100)</f>
        <v>0</v>
      </c>
      <c r="H61" s="281">
        <f>SUM(H62:H63)</f>
        <v>60000</v>
      </c>
      <c r="I61" s="246">
        <f>AVERAGE(H61/H$57*100)</f>
        <v>75</v>
      </c>
      <c r="J61" s="547">
        <f t="shared" si="1"/>
        <v>0</v>
      </c>
      <c r="K61" s="281">
        <f>SUM(K62:K63)</f>
        <v>60000</v>
      </c>
      <c r="L61" s="246">
        <f>AVERAGE(K61/K$57*100)</f>
        <v>75</v>
      </c>
      <c r="M61" s="253" t="e">
        <f t="shared" si="2"/>
        <v>#DIV/0!</v>
      </c>
      <c r="N61" s="254">
        <f>AVERAGE(K61/H61)*100</f>
        <v>100</v>
      </c>
    </row>
    <row r="62" spans="1:15" ht="15" customHeight="1" x14ac:dyDescent="0.25">
      <c r="A62" s="277"/>
      <c r="B62" s="278"/>
      <c r="C62" s="255"/>
      <c r="D62" s="279">
        <v>7231</v>
      </c>
      <c r="E62" s="280" t="s">
        <v>214</v>
      </c>
      <c r="F62" s="281"/>
      <c r="G62" s="442"/>
      <c r="H62" s="281">
        <v>0</v>
      </c>
      <c r="I62" s="442"/>
      <c r="J62" s="547">
        <f t="shared" si="1"/>
        <v>0</v>
      </c>
      <c r="K62" s="281">
        <v>0</v>
      </c>
      <c r="L62" s="442"/>
      <c r="M62" s="443"/>
      <c r="N62" s="254"/>
    </row>
    <row r="63" spans="1:15" ht="15" customHeight="1" x14ac:dyDescent="0.25">
      <c r="A63" s="277"/>
      <c r="B63" s="278"/>
      <c r="C63" s="255"/>
      <c r="D63" s="279">
        <v>7233</v>
      </c>
      <c r="E63" s="280" t="s">
        <v>229</v>
      </c>
      <c r="F63" s="281"/>
      <c r="G63" s="442"/>
      <c r="H63" s="281">
        <v>60000</v>
      </c>
      <c r="I63" s="442">
        <f>AVERAGE(H63/H$57*100)</f>
        <v>75</v>
      </c>
      <c r="J63" s="547">
        <f t="shared" si="1"/>
        <v>0</v>
      </c>
      <c r="K63" s="281">
        <v>60000</v>
      </c>
      <c r="L63" s="442">
        <f>AVERAGE(K63/K$57*100)</f>
        <v>75</v>
      </c>
      <c r="M63" s="443"/>
      <c r="N63" s="254">
        <f t="shared" ref="N63" si="6">AVERAGE(K63/H63)*100</f>
        <v>100</v>
      </c>
    </row>
    <row r="64" spans="1:15" ht="15.75" thickBot="1" x14ac:dyDescent="0.3">
      <c r="A64" s="282"/>
      <c r="B64" s="283"/>
      <c r="C64" s="284">
        <v>725</v>
      </c>
      <c r="D64" s="285">
        <v>7252</v>
      </c>
      <c r="E64" s="286" t="s">
        <v>69</v>
      </c>
      <c r="F64" s="288">
        <v>2928</v>
      </c>
      <c r="G64" s="287">
        <f>AVERAGE(F64/F6*100)</f>
        <v>3.5847303415983557E-2</v>
      </c>
      <c r="H64" s="288">
        <v>20000</v>
      </c>
      <c r="I64" s="287">
        <f>AVERAGE(H64/H$57*100)</f>
        <v>25</v>
      </c>
      <c r="J64" s="576">
        <f t="shared" si="1"/>
        <v>0</v>
      </c>
      <c r="K64" s="288">
        <v>20000</v>
      </c>
      <c r="L64" s="287">
        <f>AVERAGE(K64/K$57*100)</f>
        <v>25</v>
      </c>
      <c r="M64" s="289">
        <f t="shared" si="2"/>
        <v>683.06010928961746</v>
      </c>
      <c r="N64" s="290">
        <f t="shared" si="3"/>
        <v>100</v>
      </c>
    </row>
    <row r="65" spans="1:14" ht="15" customHeight="1" thickTop="1" x14ac:dyDescent="0.25">
      <c r="A65" s="291"/>
      <c r="B65" s="291"/>
      <c r="C65" s="292"/>
      <c r="D65" s="293"/>
      <c r="E65" s="294"/>
      <c r="F65" s="295"/>
      <c r="G65" s="294"/>
      <c r="H65" s="295"/>
      <c r="I65" s="294"/>
      <c r="J65" s="294"/>
      <c r="K65" s="295"/>
      <c r="L65" s="295"/>
      <c r="M65" s="295"/>
      <c r="N65" s="127"/>
    </row>
    <row r="66" spans="1:14" ht="13.5" customHeight="1" x14ac:dyDescent="0.25">
      <c r="A66" s="292"/>
      <c r="B66" s="292"/>
      <c r="C66" s="292"/>
      <c r="D66" s="293"/>
      <c r="E66" s="294"/>
      <c r="F66" s="291"/>
      <c r="G66" s="294"/>
      <c r="H66" s="291"/>
      <c r="I66" s="294"/>
      <c r="J66" s="294"/>
      <c r="K66" s="291"/>
      <c r="L66" s="291"/>
      <c r="M66" s="291"/>
      <c r="N66" s="127"/>
    </row>
    <row r="67" spans="1:14" ht="15" hidden="1" customHeight="1" x14ac:dyDescent="0.25">
      <c r="A67" s="292"/>
      <c r="B67" s="292"/>
      <c r="C67" s="292"/>
      <c r="D67" s="293"/>
      <c r="E67" s="294"/>
      <c r="F67" s="296"/>
      <c r="G67" s="294"/>
      <c r="H67" s="296"/>
      <c r="I67" s="294"/>
      <c r="J67" s="294"/>
      <c r="K67" s="296"/>
      <c r="L67" s="296"/>
      <c r="M67" s="296"/>
      <c r="N67" s="127"/>
    </row>
    <row r="68" spans="1:14" x14ac:dyDescent="0.25">
      <c r="A68" s="292"/>
      <c r="B68" s="292"/>
      <c r="C68" s="292"/>
      <c r="D68" s="293"/>
      <c r="E68" s="294"/>
      <c r="F68" s="127"/>
      <c r="G68" s="294"/>
      <c r="H68" s="127"/>
      <c r="I68" s="294"/>
      <c r="J68" s="294"/>
      <c r="K68" s="127"/>
      <c r="L68" s="127"/>
      <c r="M68" s="127"/>
      <c r="N68" s="127"/>
    </row>
    <row r="69" spans="1:14" x14ac:dyDescent="0.25">
      <c r="A69" s="292"/>
      <c r="B69" s="292"/>
      <c r="C69" s="292"/>
      <c r="D69" s="293"/>
      <c r="E69" s="294"/>
      <c r="F69" s="127"/>
      <c r="G69" s="294"/>
      <c r="H69" s="127"/>
      <c r="I69" s="294"/>
      <c r="J69" s="294"/>
      <c r="K69" s="127"/>
      <c r="L69" s="127"/>
      <c r="M69" s="127"/>
      <c r="N69" s="127"/>
    </row>
    <row r="70" spans="1:14" x14ac:dyDescent="0.25">
      <c r="A70" s="292"/>
      <c r="B70" s="292"/>
      <c r="C70" s="292"/>
      <c r="D70" s="293"/>
      <c r="E70" s="294"/>
      <c r="F70" s="127"/>
      <c r="G70" s="294"/>
      <c r="H70" s="127"/>
      <c r="I70" s="294"/>
      <c r="J70" s="294"/>
      <c r="K70" s="127"/>
      <c r="L70" s="127"/>
      <c r="M70" s="127"/>
      <c r="N70" s="127"/>
    </row>
    <row r="71" spans="1:14" x14ac:dyDescent="0.25">
      <c r="A71" s="292"/>
      <c r="B71" s="292"/>
      <c r="C71" s="292"/>
      <c r="D71" s="293"/>
      <c r="E71" s="294"/>
      <c r="F71" s="127"/>
      <c r="G71" s="294"/>
      <c r="H71" s="127"/>
      <c r="I71" s="294"/>
      <c r="J71" s="294"/>
      <c r="K71" s="127"/>
      <c r="L71" s="127"/>
      <c r="M71" s="127"/>
      <c r="N71" s="127"/>
    </row>
    <row r="72" spans="1:14" x14ac:dyDescent="0.25">
      <c r="A72" s="292"/>
      <c r="B72" s="292"/>
      <c r="C72" s="292"/>
      <c r="D72" s="293"/>
      <c r="E72" s="294"/>
      <c r="F72" s="127"/>
      <c r="G72" s="294"/>
      <c r="H72" s="127"/>
      <c r="I72" s="294"/>
      <c r="J72" s="294"/>
      <c r="K72" s="127"/>
      <c r="L72" s="127"/>
      <c r="M72" s="127"/>
      <c r="N72" s="127"/>
    </row>
    <row r="73" spans="1:14" ht="15" hidden="1" customHeight="1" x14ac:dyDescent="0.25">
      <c r="A73" s="292"/>
      <c r="B73" s="292"/>
      <c r="C73" s="292"/>
      <c r="D73" s="293"/>
      <c r="E73" s="294"/>
      <c r="F73" s="127"/>
      <c r="G73" s="294"/>
      <c r="H73" s="127"/>
      <c r="I73" s="294"/>
      <c r="J73" s="294"/>
      <c r="K73" s="127"/>
      <c r="L73" s="127"/>
      <c r="M73" s="127"/>
      <c r="N73" s="127"/>
    </row>
    <row r="74" spans="1:14" x14ac:dyDescent="0.25">
      <c r="A74" s="292"/>
      <c r="B74" s="292"/>
      <c r="C74" s="292"/>
      <c r="D74" s="293"/>
      <c r="E74" s="294"/>
      <c r="F74" s="127"/>
      <c r="G74" s="294"/>
      <c r="H74" s="127"/>
      <c r="I74" s="294"/>
      <c r="J74" s="294"/>
      <c r="K74" s="127"/>
      <c r="L74" s="127"/>
      <c r="M74" s="127"/>
      <c r="N74" s="127"/>
    </row>
    <row r="75" spans="1:14" x14ac:dyDescent="0.25">
      <c r="A75" s="292"/>
      <c r="B75" s="292"/>
      <c r="C75" s="292"/>
      <c r="D75" s="293"/>
      <c r="E75" s="297"/>
      <c r="G75" s="297"/>
      <c r="I75" s="297"/>
      <c r="J75" s="297"/>
    </row>
    <row r="76" spans="1:14" x14ac:dyDescent="0.25">
      <c r="A76" s="292"/>
      <c r="B76" s="292"/>
      <c r="C76" s="292"/>
      <c r="D76" s="293"/>
      <c r="E76" s="297"/>
      <c r="G76" s="297"/>
      <c r="I76" s="297"/>
      <c r="J76" s="297"/>
    </row>
    <row r="77" spans="1:14" x14ac:dyDescent="0.25">
      <c r="A77" s="292"/>
      <c r="B77" s="292"/>
      <c r="C77" s="292"/>
      <c r="D77" s="293"/>
      <c r="E77" s="297"/>
      <c r="G77" s="297"/>
      <c r="I77" s="297"/>
      <c r="J77" s="297"/>
    </row>
    <row r="78" spans="1:14" x14ac:dyDescent="0.25">
      <c r="A78" s="292"/>
      <c r="B78" s="292"/>
      <c r="C78" s="292"/>
      <c r="D78" s="293"/>
      <c r="E78" s="297"/>
      <c r="G78" s="297"/>
      <c r="I78" s="297"/>
      <c r="J78" s="297"/>
    </row>
    <row r="79" spans="1:14" x14ac:dyDescent="0.25">
      <c r="A79" s="292"/>
      <c r="B79" s="292"/>
      <c r="C79" s="292"/>
      <c r="D79" s="293"/>
      <c r="E79" s="297"/>
      <c r="G79" s="297"/>
      <c r="I79" s="297"/>
      <c r="J79" s="297"/>
    </row>
    <row r="80" spans="1:14" x14ac:dyDescent="0.25">
      <c r="A80" s="292"/>
      <c r="B80" s="292"/>
      <c r="C80" s="292"/>
      <c r="D80" s="293"/>
      <c r="E80" s="297"/>
      <c r="G80" s="297"/>
      <c r="I80" s="297"/>
      <c r="J80" s="297"/>
    </row>
    <row r="81" spans="1:10" ht="15" hidden="1" customHeight="1" x14ac:dyDescent="0.25">
      <c r="A81" s="292"/>
      <c r="B81" s="292"/>
      <c r="C81" s="292"/>
      <c r="D81" s="293"/>
      <c r="E81" s="297"/>
      <c r="G81" s="297"/>
      <c r="I81" s="297"/>
      <c r="J81" s="297"/>
    </row>
    <row r="82" spans="1:10" ht="20.25" customHeight="1" x14ac:dyDescent="0.25">
      <c r="A82" s="292"/>
      <c r="B82" s="292"/>
      <c r="C82" s="292"/>
      <c r="D82" s="293"/>
      <c r="E82" s="297"/>
      <c r="G82" s="297"/>
      <c r="I82" s="297"/>
      <c r="J82" s="297"/>
    </row>
    <row r="83" spans="1:10" ht="26.25" customHeight="1" x14ac:dyDescent="0.25">
      <c r="A83" s="292"/>
      <c r="B83" s="292"/>
      <c r="C83" s="292"/>
      <c r="D83" s="293"/>
      <c r="E83" s="297"/>
      <c r="G83" s="297"/>
      <c r="I83" s="297"/>
      <c r="J83" s="297"/>
    </row>
    <row r="84" spans="1:10" x14ac:dyDescent="0.25">
      <c r="A84" s="292"/>
      <c r="B84" s="292"/>
      <c r="C84" s="292"/>
      <c r="D84" s="293"/>
      <c r="E84" s="297"/>
      <c r="G84" s="297"/>
      <c r="I84" s="297"/>
      <c r="J84" s="297"/>
    </row>
    <row r="85" spans="1:10" ht="16.5" customHeight="1" x14ac:dyDescent="0.25">
      <c r="A85" s="292"/>
      <c r="B85" s="292"/>
      <c r="C85" s="292"/>
      <c r="D85" s="293"/>
      <c r="E85" s="297"/>
      <c r="G85" s="297"/>
      <c r="I85" s="297"/>
      <c r="J85" s="297"/>
    </row>
    <row r="86" spans="1:10" ht="15" hidden="1" customHeight="1" x14ac:dyDescent="0.25">
      <c r="A86" s="292"/>
      <c r="B86" s="292"/>
      <c r="C86" s="292"/>
      <c r="D86" s="293"/>
      <c r="E86" s="297"/>
      <c r="G86" s="297"/>
      <c r="I86" s="297"/>
      <c r="J86" s="297"/>
    </row>
    <row r="87" spans="1:10" ht="15" hidden="1" customHeight="1" x14ac:dyDescent="0.25">
      <c r="A87" s="292"/>
      <c r="B87" s="292"/>
      <c r="C87" s="292"/>
      <c r="D87" s="293"/>
      <c r="E87" s="297"/>
      <c r="G87" s="297"/>
      <c r="I87" s="297"/>
      <c r="J87" s="297"/>
    </row>
    <row r="88" spans="1:10" ht="15" hidden="1" customHeight="1" x14ac:dyDescent="0.25">
      <c r="A88" s="292"/>
      <c r="B88" s="292"/>
      <c r="C88" s="292"/>
      <c r="D88" s="293"/>
      <c r="E88" s="297"/>
      <c r="G88" s="297"/>
      <c r="I88" s="297"/>
      <c r="J88" s="297"/>
    </row>
    <row r="89" spans="1:10" ht="15.75" hidden="1" customHeight="1" x14ac:dyDescent="0.25">
      <c r="A89" s="298"/>
      <c r="B89" s="299"/>
      <c r="C89" s="299"/>
      <c r="D89" s="300"/>
      <c r="E89" s="297"/>
      <c r="G89" s="297"/>
      <c r="I89" s="297"/>
      <c r="J89" s="297"/>
    </row>
    <row r="90" spans="1:10" ht="15" hidden="1" customHeight="1" x14ac:dyDescent="0.25">
      <c r="A90" s="301"/>
      <c r="B90" s="302"/>
      <c r="C90" s="302"/>
      <c r="D90" s="303"/>
      <c r="E90" s="297"/>
      <c r="G90" s="297"/>
      <c r="I90" s="297"/>
      <c r="J90" s="297"/>
    </row>
    <row r="91" spans="1:10" x14ac:dyDescent="0.25">
      <c r="A91" s="301"/>
      <c r="B91" s="301"/>
      <c r="C91" s="302"/>
      <c r="D91" s="303"/>
      <c r="E91" s="297"/>
      <c r="G91" s="297"/>
      <c r="I91" s="297"/>
      <c r="J91" s="297"/>
    </row>
    <row r="92" spans="1:10" ht="15.75" customHeight="1" x14ac:dyDescent="0.25">
      <c r="A92" s="301"/>
      <c r="B92" s="302"/>
      <c r="C92" s="301"/>
      <c r="D92" s="303"/>
      <c r="E92" s="297"/>
      <c r="G92" s="297"/>
      <c r="I92" s="297"/>
      <c r="J92" s="297"/>
    </row>
    <row r="93" spans="1:10" x14ac:dyDescent="0.25">
      <c r="A93" s="301"/>
      <c r="B93" s="302"/>
      <c r="C93" s="301"/>
      <c r="D93" s="304"/>
      <c r="E93" s="297"/>
      <c r="G93" s="297"/>
      <c r="I93" s="297"/>
      <c r="J93" s="297"/>
    </row>
    <row r="94" spans="1:10" x14ac:dyDescent="0.25">
      <c r="A94" s="301"/>
      <c r="B94" s="302"/>
      <c r="C94" s="301"/>
      <c r="D94" s="304"/>
      <c r="E94" s="297"/>
      <c r="G94" s="297"/>
      <c r="I94" s="297"/>
      <c r="J94" s="297"/>
    </row>
    <row r="95" spans="1:10" x14ac:dyDescent="0.25">
      <c r="A95" s="301"/>
      <c r="B95" s="302"/>
      <c r="C95" s="301"/>
      <c r="D95" s="304"/>
      <c r="E95" s="297"/>
      <c r="G95" s="297"/>
      <c r="I95" s="297"/>
      <c r="J95" s="297"/>
    </row>
    <row r="96" spans="1:10" x14ac:dyDescent="0.25">
      <c r="A96" s="302"/>
      <c r="B96" s="301"/>
      <c r="C96" s="302"/>
      <c r="D96" s="305"/>
      <c r="E96" s="297"/>
      <c r="G96" s="297"/>
      <c r="I96" s="297"/>
      <c r="J96" s="297"/>
    </row>
    <row r="97" spans="1:10" x14ac:dyDescent="0.25">
      <c r="A97" s="302"/>
      <c r="B97" s="302"/>
      <c r="C97" s="302"/>
      <c r="D97" s="305"/>
      <c r="E97" s="297"/>
      <c r="G97" s="297"/>
      <c r="I97" s="297"/>
      <c r="J97" s="297"/>
    </row>
    <row r="98" spans="1:10" ht="15.75" customHeight="1" x14ac:dyDescent="0.25">
      <c r="A98" s="302"/>
      <c r="B98" s="302"/>
      <c r="C98" s="302"/>
      <c r="D98" s="304"/>
      <c r="E98" s="297"/>
      <c r="G98" s="297"/>
      <c r="I98" s="297"/>
      <c r="J98" s="297"/>
    </row>
    <row r="99" spans="1:10" x14ac:dyDescent="0.25">
      <c r="A99" s="302"/>
      <c r="B99" s="302"/>
      <c r="C99" s="302"/>
      <c r="D99" s="305"/>
      <c r="E99" s="297"/>
      <c r="G99" s="297"/>
      <c r="I99" s="297"/>
      <c r="J99" s="297"/>
    </row>
    <row r="100" spans="1:10" x14ac:dyDescent="0.25">
      <c r="A100" s="302"/>
      <c r="B100" s="302"/>
      <c r="C100" s="301"/>
      <c r="D100" s="305"/>
      <c r="E100" s="297"/>
      <c r="G100" s="297"/>
      <c r="I100" s="297"/>
      <c r="J100" s="297"/>
    </row>
    <row r="101" spans="1:10" x14ac:dyDescent="0.25">
      <c r="A101" s="302"/>
      <c r="B101" s="302"/>
      <c r="C101" s="301"/>
      <c r="D101" s="305"/>
      <c r="E101" s="297"/>
      <c r="G101" s="297"/>
      <c r="I101" s="297"/>
      <c r="J101" s="297"/>
    </row>
    <row r="102" spans="1:10" x14ac:dyDescent="0.25">
      <c r="A102" s="302"/>
      <c r="B102" s="302"/>
      <c r="C102" s="302"/>
      <c r="D102" s="305"/>
      <c r="E102" s="306"/>
      <c r="G102" s="306"/>
      <c r="I102" s="306"/>
      <c r="J102" s="306"/>
    </row>
    <row r="103" spans="1:10" x14ac:dyDescent="0.25">
      <c r="A103" s="302"/>
      <c r="B103" s="302"/>
      <c r="C103" s="302"/>
      <c r="D103" s="305"/>
      <c r="E103" s="306"/>
      <c r="G103" s="306"/>
      <c r="I103" s="306"/>
      <c r="J103" s="306"/>
    </row>
    <row r="104" spans="1:10" x14ac:dyDescent="0.25">
      <c r="A104" s="302"/>
      <c r="B104" s="302"/>
      <c r="C104" s="302"/>
      <c r="D104" s="305"/>
      <c r="E104" s="307"/>
      <c r="G104" s="307"/>
      <c r="I104" s="307"/>
      <c r="J104" s="307"/>
    </row>
    <row r="105" spans="1:10" x14ac:dyDescent="0.25">
      <c r="A105" s="302"/>
      <c r="B105" s="302"/>
      <c r="C105" s="302"/>
      <c r="D105" s="305"/>
      <c r="E105" s="306"/>
      <c r="G105" s="306"/>
      <c r="I105" s="306"/>
      <c r="J105" s="306"/>
    </row>
    <row r="106" spans="1:10" x14ac:dyDescent="0.25">
      <c r="A106" s="302"/>
      <c r="B106" s="302"/>
      <c r="C106" s="302"/>
      <c r="D106" s="305"/>
      <c r="E106" s="306"/>
      <c r="G106" s="306"/>
      <c r="I106" s="306"/>
      <c r="J106" s="306"/>
    </row>
    <row r="107" spans="1:10" x14ac:dyDescent="0.25">
      <c r="A107" s="302"/>
      <c r="B107" s="302"/>
      <c r="C107" s="302"/>
      <c r="D107" s="305"/>
      <c r="E107" s="307"/>
      <c r="G107" s="307"/>
      <c r="I107" s="307"/>
      <c r="J107" s="307"/>
    </row>
    <row r="108" spans="1:10" x14ac:dyDescent="0.25">
      <c r="A108" s="302"/>
      <c r="B108" s="302"/>
      <c r="C108" s="302"/>
      <c r="D108" s="305"/>
      <c r="E108" s="306"/>
      <c r="G108" s="306"/>
      <c r="I108" s="306"/>
      <c r="J108" s="306"/>
    </row>
    <row r="109" spans="1:10" x14ac:dyDescent="0.25">
      <c r="A109" s="302"/>
      <c r="B109" s="302"/>
      <c r="C109" s="302"/>
      <c r="D109" s="305"/>
      <c r="E109" s="306"/>
      <c r="G109" s="306"/>
      <c r="I109" s="306"/>
      <c r="J109" s="306"/>
    </row>
    <row r="110" spans="1:10" x14ac:dyDescent="0.25">
      <c r="A110" s="302"/>
      <c r="B110" s="302"/>
      <c r="C110" s="302"/>
      <c r="D110" s="305"/>
      <c r="E110" s="306"/>
      <c r="G110" s="306"/>
      <c r="I110" s="306"/>
      <c r="J110" s="306"/>
    </row>
    <row r="111" spans="1:10" x14ac:dyDescent="0.25">
      <c r="A111" s="302"/>
      <c r="B111" s="301"/>
      <c r="C111" s="302"/>
      <c r="D111" s="305"/>
      <c r="E111" s="308"/>
      <c r="G111" s="308"/>
      <c r="I111" s="308"/>
      <c r="J111" s="308"/>
    </row>
    <row r="112" spans="1:10" x14ac:dyDescent="0.25">
      <c r="A112" s="302"/>
      <c r="B112" s="302"/>
      <c r="C112" s="301"/>
      <c r="D112" s="305"/>
      <c r="E112" s="309"/>
      <c r="G112" s="309"/>
      <c r="I112" s="309"/>
      <c r="J112" s="309"/>
    </row>
    <row r="113" spans="1:10" x14ac:dyDescent="0.25">
      <c r="A113" s="302"/>
      <c r="B113" s="302"/>
      <c r="C113" s="301"/>
      <c r="D113" s="304"/>
      <c r="E113" s="310"/>
      <c r="G113" s="310"/>
      <c r="I113" s="310"/>
      <c r="J113" s="310"/>
    </row>
    <row r="114" spans="1:10" x14ac:dyDescent="0.25">
      <c r="A114" s="302"/>
      <c r="B114" s="302"/>
      <c r="C114" s="302"/>
      <c r="D114" s="305"/>
      <c r="E114" s="306"/>
      <c r="G114" s="306"/>
      <c r="I114" s="306"/>
      <c r="J114" s="306"/>
    </row>
    <row r="115" spans="1:10" x14ac:dyDescent="0.25">
      <c r="A115" s="302"/>
      <c r="B115" s="301"/>
      <c r="C115" s="302"/>
      <c r="D115" s="305"/>
      <c r="E115" s="308"/>
      <c r="G115" s="308"/>
      <c r="I115" s="308"/>
      <c r="J115" s="308"/>
    </row>
    <row r="116" spans="1:10" x14ac:dyDescent="0.25">
      <c r="A116" s="302"/>
      <c r="B116" s="302"/>
      <c r="C116" s="301"/>
      <c r="D116" s="305"/>
      <c r="E116" s="308"/>
      <c r="G116" s="308"/>
      <c r="I116" s="308"/>
      <c r="J116" s="308"/>
    </row>
    <row r="117" spans="1:10" x14ac:dyDescent="0.25">
      <c r="A117" s="302"/>
      <c r="B117" s="302"/>
      <c r="C117" s="301"/>
      <c r="D117" s="311"/>
      <c r="E117" s="307"/>
      <c r="G117" s="307"/>
      <c r="I117" s="307"/>
      <c r="J117" s="307"/>
    </row>
    <row r="118" spans="1:10" x14ac:dyDescent="0.25">
      <c r="A118" s="302"/>
      <c r="B118" s="302"/>
      <c r="C118" s="302"/>
      <c r="D118" s="312"/>
      <c r="E118" s="313"/>
      <c r="G118" s="313"/>
      <c r="I118" s="313"/>
      <c r="J118" s="313"/>
    </row>
    <row r="119" spans="1:10" x14ac:dyDescent="0.25">
      <c r="A119" s="302"/>
      <c r="B119" s="302"/>
      <c r="C119" s="302"/>
      <c r="D119" s="304"/>
      <c r="E119" s="314"/>
      <c r="G119" s="314"/>
      <c r="I119" s="314"/>
      <c r="J119" s="314"/>
    </row>
    <row r="120" spans="1:10" x14ac:dyDescent="0.25">
      <c r="A120" s="302"/>
      <c r="B120" s="302"/>
      <c r="C120" s="302"/>
      <c r="D120" s="305"/>
      <c r="E120" s="306"/>
      <c r="G120" s="306"/>
      <c r="I120" s="306"/>
      <c r="J120" s="306"/>
    </row>
    <row r="121" spans="1:10" x14ac:dyDescent="0.25">
      <c r="A121" s="302"/>
      <c r="B121" s="302"/>
      <c r="C121" s="301"/>
      <c r="D121" s="305"/>
      <c r="E121" s="315"/>
      <c r="G121" s="315"/>
      <c r="I121" s="315"/>
      <c r="J121" s="315"/>
    </row>
    <row r="122" spans="1:10" x14ac:dyDescent="0.25">
      <c r="A122" s="302"/>
      <c r="B122" s="302"/>
      <c r="C122" s="301"/>
      <c r="D122" s="305"/>
      <c r="E122" s="307"/>
      <c r="G122" s="307"/>
      <c r="I122" s="307"/>
      <c r="J122" s="307"/>
    </row>
    <row r="123" spans="1:10" x14ac:dyDescent="0.25">
      <c r="A123" s="302"/>
      <c r="B123" s="302"/>
      <c r="C123" s="302"/>
      <c r="D123" s="305"/>
      <c r="E123" s="306"/>
      <c r="G123" s="306"/>
      <c r="I123" s="306"/>
      <c r="J123" s="306"/>
    </row>
    <row r="124" spans="1:10" x14ac:dyDescent="0.25">
      <c r="A124" s="302"/>
      <c r="B124" s="302"/>
      <c r="C124" s="302"/>
      <c r="D124" s="305"/>
      <c r="E124" s="314"/>
      <c r="G124" s="314"/>
      <c r="I124" s="314"/>
      <c r="J124" s="314"/>
    </row>
    <row r="125" spans="1:10" x14ac:dyDescent="0.25">
      <c r="A125" s="302"/>
      <c r="B125" s="302"/>
      <c r="C125" s="302"/>
      <c r="D125" s="305"/>
      <c r="E125" s="306"/>
      <c r="G125" s="306"/>
      <c r="I125" s="306"/>
      <c r="J125" s="306"/>
    </row>
    <row r="126" spans="1:10" x14ac:dyDescent="0.25">
      <c r="A126" s="302"/>
      <c r="B126" s="302"/>
      <c r="C126" s="302"/>
      <c r="D126" s="305"/>
      <c r="E126" s="310"/>
      <c r="G126" s="310"/>
      <c r="I126" s="310"/>
      <c r="J126" s="310"/>
    </row>
    <row r="127" spans="1:10" x14ac:dyDescent="0.25">
      <c r="A127" s="302"/>
      <c r="B127" s="302"/>
      <c r="C127" s="302"/>
      <c r="D127" s="312"/>
      <c r="E127" s="313"/>
      <c r="G127" s="313"/>
      <c r="I127" s="313"/>
      <c r="J127" s="313"/>
    </row>
    <row r="128" spans="1:10" x14ac:dyDescent="0.25">
      <c r="A128" s="302"/>
      <c r="B128" s="301"/>
      <c r="C128" s="302"/>
      <c r="D128" s="312"/>
      <c r="E128" s="309"/>
      <c r="G128" s="309"/>
      <c r="I128" s="309"/>
      <c r="J128" s="309"/>
    </row>
    <row r="129" spans="1:10" x14ac:dyDescent="0.25">
      <c r="A129" s="302"/>
      <c r="B129" s="302"/>
      <c r="C129" s="301"/>
      <c r="D129" s="312"/>
      <c r="E129" s="316"/>
      <c r="G129" s="316"/>
      <c r="I129" s="316"/>
      <c r="J129" s="316"/>
    </row>
    <row r="130" spans="1:10" x14ac:dyDescent="0.25">
      <c r="A130" s="302"/>
      <c r="B130" s="302"/>
      <c r="C130" s="301"/>
      <c r="D130" s="304"/>
      <c r="E130" s="307"/>
      <c r="G130" s="307"/>
      <c r="I130" s="307"/>
      <c r="J130" s="307"/>
    </row>
    <row r="131" spans="1:10" x14ac:dyDescent="0.25">
      <c r="A131" s="302"/>
      <c r="B131" s="302"/>
      <c r="C131" s="302"/>
      <c r="D131" s="305"/>
      <c r="E131" s="306"/>
      <c r="G131" s="306"/>
      <c r="I131" s="306"/>
      <c r="J131" s="306"/>
    </row>
    <row r="132" spans="1:10" x14ac:dyDescent="0.25">
      <c r="A132" s="302"/>
      <c r="B132" s="301"/>
      <c r="C132" s="302"/>
      <c r="D132" s="305"/>
      <c r="E132" s="308"/>
      <c r="G132" s="308"/>
      <c r="I132" s="308"/>
      <c r="J132" s="308"/>
    </row>
    <row r="133" spans="1:10" x14ac:dyDescent="0.25">
      <c r="A133" s="302"/>
      <c r="B133" s="302"/>
      <c r="C133" s="301"/>
      <c r="D133" s="305"/>
      <c r="E133" s="309"/>
      <c r="G133" s="309"/>
      <c r="I133" s="309"/>
      <c r="J133" s="309"/>
    </row>
    <row r="134" spans="1:10" x14ac:dyDescent="0.25">
      <c r="A134" s="302"/>
      <c r="B134" s="302"/>
      <c r="C134" s="301"/>
      <c r="D134" s="304"/>
      <c r="E134" s="307"/>
      <c r="G134" s="307"/>
      <c r="I134" s="307"/>
      <c r="J134" s="307"/>
    </row>
    <row r="135" spans="1:10" x14ac:dyDescent="0.25">
      <c r="A135" s="302"/>
      <c r="B135" s="302"/>
      <c r="C135" s="302"/>
      <c r="D135" s="312"/>
      <c r="E135" s="306"/>
      <c r="G135" s="306"/>
      <c r="I135" s="306"/>
      <c r="J135" s="306"/>
    </row>
    <row r="136" spans="1:10" x14ac:dyDescent="0.25">
      <c r="A136" s="302"/>
      <c r="B136" s="302"/>
      <c r="C136" s="301"/>
      <c r="D136" s="312"/>
      <c r="E136" s="309"/>
      <c r="G136" s="309"/>
      <c r="I136" s="309"/>
      <c r="J136" s="309"/>
    </row>
    <row r="137" spans="1:10" x14ac:dyDescent="0.25">
      <c r="A137" s="302"/>
      <c r="B137" s="302"/>
      <c r="C137" s="302"/>
      <c r="D137" s="304"/>
      <c r="E137" s="310"/>
      <c r="G137" s="310"/>
      <c r="I137" s="310"/>
      <c r="J137" s="310"/>
    </row>
    <row r="138" spans="1:10" x14ac:dyDescent="0.25">
      <c r="A138" s="302"/>
      <c r="B138" s="302"/>
      <c r="C138" s="302"/>
      <c r="D138" s="305"/>
      <c r="E138" s="306"/>
      <c r="G138" s="306"/>
      <c r="I138" s="306"/>
      <c r="J138" s="306"/>
    </row>
    <row r="139" spans="1:10" x14ac:dyDescent="0.25">
      <c r="A139" s="302"/>
      <c r="B139" s="302"/>
      <c r="C139" s="302"/>
      <c r="D139" s="304"/>
      <c r="E139" s="307"/>
      <c r="G139" s="307"/>
      <c r="I139" s="307"/>
      <c r="J139" s="307"/>
    </row>
    <row r="140" spans="1:10" x14ac:dyDescent="0.25">
      <c r="A140" s="302"/>
      <c r="B140" s="302"/>
      <c r="C140" s="302"/>
      <c r="D140" s="305"/>
      <c r="E140" s="306"/>
      <c r="G140" s="306"/>
      <c r="I140" s="306"/>
      <c r="J140" s="306"/>
    </row>
    <row r="141" spans="1:10" x14ac:dyDescent="0.25">
      <c r="A141" s="302"/>
      <c r="B141" s="302"/>
      <c r="C141" s="302"/>
      <c r="D141" s="305"/>
      <c r="E141" s="306"/>
      <c r="G141" s="306"/>
      <c r="I141" s="306"/>
      <c r="J141" s="306"/>
    </row>
    <row r="142" spans="1:10" x14ac:dyDescent="0.25">
      <c r="A142" s="301"/>
      <c r="B142" s="302"/>
      <c r="C142" s="302"/>
      <c r="D142" s="303"/>
      <c r="E142" s="309"/>
      <c r="G142" s="309"/>
      <c r="I142" s="309"/>
      <c r="J142" s="309"/>
    </row>
    <row r="143" spans="1:10" x14ac:dyDescent="0.25">
      <c r="A143" s="302"/>
      <c r="B143" s="301"/>
      <c r="C143" s="301"/>
      <c r="D143" s="317"/>
      <c r="E143" s="309"/>
      <c r="G143" s="309"/>
      <c r="I143" s="309"/>
      <c r="J143" s="309"/>
    </row>
    <row r="144" spans="1:10" x14ac:dyDescent="0.25">
      <c r="A144" s="302"/>
      <c r="B144" s="301"/>
      <c r="C144" s="301"/>
      <c r="D144" s="317"/>
      <c r="E144" s="308"/>
      <c r="G144" s="308"/>
      <c r="I144" s="308"/>
      <c r="J144" s="308"/>
    </row>
    <row r="145" spans="1:10" x14ac:dyDescent="0.25">
      <c r="A145" s="302"/>
      <c r="B145" s="301"/>
      <c r="C145" s="301"/>
      <c r="D145" s="304"/>
      <c r="E145" s="314"/>
      <c r="G145" s="314"/>
      <c r="I145" s="314"/>
      <c r="J145" s="314"/>
    </row>
    <row r="146" spans="1:10" x14ac:dyDescent="0.25">
      <c r="A146" s="302"/>
      <c r="B146" s="302"/>
      <c r="C146" s="302"/>
      <c r="D146" s="305"/>
      <c r="E146" s="306"/>
      <c r="G146" s="306"/>
      <c r="I146" s="306"/>
      <c r="J146" s="306"/>
    </row>
    <row r="147" spans="1:10" x14ac:dyDescent="0.25">
      <c r="A147" s="302"/>
      <c r="B147" s="301"/>
      <c r="C147" s="302"/>
      <c r="D147" s="305"/>
      <c r="E147" s="309"/>
      <c r="G147" s="309"/>
      <c r="I147" s="309"/>
      <c r="J147" s="309"/>
    </row>
    <row r="148" spans="1:10" x14ac:dyDescent="0.25">
      <c r="A148" s="302"/>
      <c r="B148" s="302"/>
      <c r="C148" s="301"/>
      <c r="D148" s="305"/>
      <c r="E148" s="308"/>
      <c r="G148" s="308"/>
      <c r="I148" s="308"/>
      <c r="J148" s="308"/>
    </row>
    <row r="149" spans="1:10" x14ac:dyDescent="0.25">
      <c r="A149" s="302"/>
      <c r="B149" s="302"/>
      <c r="C149" s="301"/>
      <c r="D149" s="304"/>
      <c r="E149" s="307"/>
      <c r="G149" s="307"/>
      <c r="I149" s="307"/>
      <c r="J149" s="307"/>
    </row>
    <row r="150" spans="1:10" x14ac:dyDescent="0.25">
      <c r="A150" s="302"/>
      <c r="B150" s="302"/>
      <c r="C150" s="302"/>
      <c r="D150" s="305"/>
      <c r="E150" s="306"/>
      <c r="G150" s="306"/>
      <c r="I150" s="306"/>
      <c r="J150" s="306"/>
    </row>
    <row r="151" spans="1:10" x14ac:dyDescent="0.25">
      <c r="A151" s="302"/>
      <c r="B151" s="302"/>
      <c r="C151" s="302"/>
      <c r="D151" s="305"/>
      <c r="E151" s="306"/>
      <c r="G151" s="306"/>
      <c r="I151" s="306"/>
      <c r="J151" s="306"/>
    </row>
    <row r="152" spans="1:10" x14ac:dyDescent="0.25">
      <c r="A152" s="302"/>
      <c r="B152" s="302"/>
      <c r="C152" s="302"/>
      <c r="D152" s="318"/>
      <c r="E152" s="319"/>
      <c r="G152" s="319"/>
      <c r="I152" s="319"/>
      <c r="J152" s="319"/>
    </row>
    <row r="153" spans="1:10" x14ac:dyDescent="0.25">
      <c r="A153" s="302"/>
      <c r="B153" s="302"/>
      <c r="C153" s="302"/>
      <c r="D153" s="305"/>
      <c r="E153" s="306"/>
      <c r="G153" s="306"/>
      <c r="I153" s="306"/>
      <c r="J153" s="306"/>
    </row>
    <row r="154" spans="1:10" x14ac:dyDescent="0.25">
      <c r="A154" s="302"/>
      <c r="B154" s="302"/>
      <c r="C154" s="302"/>
      <c r="D154" s="305"/>
      <c r="E154" s="306"/>
      <c r="G154" s="306"/>
      <c r="I154" s="306"/>
      <c r="J154" s="306"/>
    </row>
    <row r="155" spans="1:10" x14ac:dyDescent="0.25">
      <c r="A155" s="302"/>
      <c r="B155" s="302"/>
      <c r="C155" s="302"/>
      <c r="D155" s="305"/>
      <c r="E155" s="306"/>
      <c r="G155" s="306"/>
      <c r="I155" s="306"/>
      <c r="J155" s="306"/>
    </row>
    <row r="156" spans="1:10" x14ac:dyDescent="0.25">
      <c r="A156" s="302"/>
      <c r="B156" s="302"/>
      <c r="C156" s="302"/>
      <c r="D156" s="304"/>
      <c r="E156" s="307"/>
      <c r="G156" s="307"/>
      <c r="I156" s="307"/>
      <c r="J156" s="307"/>
    </row>
    <row r="157" spans="1:10" x14ac:dyDescent="0.25">
      <c r="A157" s="302"/>
      <c r="B157" s="302"/>
      <c r="C157" s="302"/>
      <c r="D157" s="305"/>
      <c r="E157" s="306"/>
      <c r="G157" s="306"/>
      <c r="I157" s="306"/>
      <c r="J157" s="306"/>
    </row>
    <row r="158" spans="1:10" x14ac:dyDescent="0.25">
      <c r="A158" s="302"/>
      <c r="B158" s="302"/>
      <c r="C158" s="302"/>
      <c r="D158" s="304"/>
      <c r="E158" s="307"/>
      <c r="G158" s="307"/>
      <c r="I158" s="307"/>
      <c r="J158" s="307"/>
    </row>
    <row r="159" spans="1:10" x14ac:dyDescent="0.25">
      <c r="A159" s="302"/>
      <c r="B159" s="302"/>
      <c r="C159" s="302"/>
      <c r="D159" s="305"/>
      <c r="E159" s="306"/>
      <c r="G159" s="306"/>
      <c r="I159" s="306"/>
      <c r="J159" s="306"/>
    </row>
    <row r="160" spans="1:10" x14ac:dyDescent="0.25">
      <c r="A160" s="302"/>
      <c r="B160" s="302"/>
      <c r="C160" s="302"/>
      <c r="D160" s="305"/>
      <c r="E160" s="306"/>
      <c r="G160" s="306"/>
      <c r="I160" s="306"/>
      <c r="J160" s="306"/>
    </row>
    <row r="161" spans="1:10" x14ac:dyDescent="0.25">
      <c r="A161" s="302"/>
      <c r="B161" s="302"/>
      <c r="C161" s="302"/>
      <c r="D161" s="305"/>
      <c r="E161" s="306"/>
      <c r="G161" s="306"/>
      <c r="I161" s="306"/>
      <c r="J161" s="306"/>
    </row>
    <row r="162" spans="1:10" x14ac:dyDescent="0.25">
      <c r="A162" s="302"/>
      <c r="B162" s="302"/>
      <c r="C162" s="302"/>
      <c r="D162" s="305"/>
      <c r="E162" s="306"/>
      <c r="G162" s="306"/>
      <c r="I162" s="306"/>
      <c r="J162" s="306"/>
    </row>
    <row r="163" spans="1:10" x14ac:dyDescent="0.25">
      <c r="A163" s="315"/>
      <c r="B163" s="315"/>
      <c r="C163" s="315"/>
      <c r="D163" s="320"/>
      <c r="E163" s="321"/>
      <c r="G163" s="321"/>
      <c r="I163" s="321"/>
      <c r="J163" s="321"/>
    </row>
    <row r="164" spans="1:10" x14ac:dyDescent="0.25">
      <c r="A164" s="302"/>
      <c r="B164" s="302"/>
      <c r="C164" s="301"/>
      <c r="D164" s="305"/>
      <c r="E164" s="308"/>
      <c r="G164" s="308"/>
      <c r="I164" s="308"/>
      <c r="J164" s="308"/>
    </row>
    <row r="165" spans="1:10" x14ac:dyDescent="0.25">
      <c r="A165" s="302"/>
      <c r="B165" s="302"/>
      <c r="C165" s="302"/>
      <c r="D165" s="322"/>
      <c r="E165" s="323"/>
      <c r="G165" s="323"/>
      <c r="I165" s="323"/>
      <c r="J165" s="323"/>
    </row>
    <row r="166" spans="1:10" x14ac:dyDescent="0.25">
      <c r="A166" s="302"/>
      <c r="B166" s="302"/>
      <c r="C166" s="302"/>
      <c r="D166" s="305"/>
      <c r="E166" s="306"/>
      <c r="G166" s="306"/>
      <c r="I166" s="306"/>
      <c r="J166" s="306"/>
    </row>
    <row r="167" spans="1:10" x14ac:dyDescent="0.25">
      <c r="A167" s="302"/>
      <c r="B167" s="302"/>
      <c r="C167" s="302"/>
      <c r="D167" s="318"/>
      <c r="E167" s="319"/>
      <c r="G167" s="319"/>
      <c r="I167" s="319"/>
      <c r="J167" s="319"/>
    </row>
    <row r="168" spans="1:10" x14ac:dyDescent="0.25">
      <c r="A168" s="302"/>
      <c r="B168" s="302"/>
      <c r="C168" s="302"/>
      <c r="D168" s="318"/>
      <c r="E168" s="319"/>
      <c r="G168" s="319"/>
      <c r="I168" s="319"/>
      <c r="J168" s="319"/>
    </row>
    <row r="169" spans="1:10" x14ac:dyDescent="0.25">
      <c r="A169" s="302"/>
      <c r="B169" s="302"/>
      <c r="C169" s="302"/>
      <c r="D169" s="305"/>
      <c r="E169" s="306"/>
      <c r="G169" s="306"/>
      <c r="I169" s="306"/>
      <c r="J169" s="306"/>
    </row>
    <row r="170" spans="1:10" x14ac:dyDescent="0.25">
      <c r="A170" s="302"/>
      <c r="B170" s="302"/>
      <c r="C170" s="302"/>
      <c r="D170" s="304"/>
      <c r="E170" s="307"/>
      <c r="G170" s="307"/>
      <c r="I170" s="307"/>
      <c r="J170" s="307"/>
    </row>
    <row r="171" spans="1:10" x14ac:dyDescent="0.25">
      <c r="A171" s="302"/>
      <c r="B171" s="302"/>
      <c r="C171" s="302"/>
      <c r="D171" s="305"/>
      <c r="E171" s="306"/>
      <c r="G171" s="306"/>
      <c r="I171" s="306"/>
      <c r="J171" s="306"/>
    </row>
    <row r="172" spans="1:10" x14ac:dyDescent="0.25">
      <c r="A172" s="302"/>
      <c r="B172" s="302"/>
      <c r="C172" s="302"/>
      <c r="D172" s="305"/>
      <c r="E172" s="306"/>
      <c r="G172" s="306"/>
      <c r="I172" s="306"/>
      <c r="J172" s="306"/>
    </row>
    <row r="173" spans="1:10" x14ac:dyDescent="0.25">
      <c r="A173" s="302"/>
      <c r="B173" s="302"/>
      <c r="C173" s="302"/>
      <c r="D173" s="304"/>
      <c r="E173" s="307"/>
      <c r="G173" s="307"/>
      <c r="I173" s="307"/>
      <c r="J173" s="307"/>
    </row>
    <row r="174" spans="1:10" x14ac:dyDescent="0.25">
      <c r="A174" s="302"/>
      <c r="B174" s="302"/>
      <c r="C174" s="302"/>
      <c r="D174" s="305"/>
      <c r="E174" s="306"/>
      <c r="G174" s="306"/>
      <c r="I174" s="306"/>
      <c r="J174" s="306"/>
    </row>
    <row r="175" spans="1:10" x14ac:dyDescent="0.25">
      <c r="A175" s="302"/>
      <c r="B175" s="302"/>
      <c r="C175" s="302"/>
      <c r="D175" s="318"/>
      <c r="E175" s="319"/>
      <c r="G175" s="319"/>
      <c r="I175" s="319"/>
      <c r="J175" s="319"/>
    </row>
    <row r="176" spans="1:10" x14ac:dyDescent="0.25">
      <c r="A176" s="302"/>
      <c r="B176" s="302"/>
      <c r="C176" s="302"/>
      <c r="D176" s="304"/>
      <c r="E176" s="323"/>
      <c r="G176" s="323"/>
      <c r="I176" s="323"/>
      <c r="J176" s="323"/>
    </row>
    <row r="177" spans="1:10" x14ac:dyDescent="0.25">
      <c r="A177" s="302"/>
      <c r="B177" s="302"/>
      <c r="C177" s="302"/>
      <c r="D177" s="312"/>
      <c r="E177" s="319"/>
      <c r="G177" s="319"/>
      <c r="I177" s="319"/>
      <c r="J177" s="319"/>
    </row>
    <row r="178" spans="1:10" x14ac:dyDescent="0.25">
      <c r="A178" s="302"/>
      <c r="B178" s="302"/>
      <c r="C178" s="302"/>
      <c r="D178" s="304"/>
      <c r="E178" s="307"/>
      <c r="G178" s="307"/>
      <c r="I178" s="307"/>
      <c r="J178" s="307"/>
    </row>
    <row r="179" spans="1:10" x14ac:dyDescent="0.25">
      <c r="A179" s="302"/>
      <c r="B179" s="302"/>
      <c r="C179" s="302"/>
      <c r="D179" s="305"/>
      <c r="E179" s="306"/>
      <c r="G179" s="306"/>
      <c r="I179" s="306"/>
      <c r="J179" s="306"/>
    </row>
    <row r="180" spans="1:10" x14ac:dyDescent="0.25">
      <c r="A180" s="302"/>
      <c r="B180" s="302"/>
      <c r="C180" s="301"/>
      <c r="D180" s="305"/>
      <c r="E180" s="308"/>
      <c r="G180" s="308"/>
      <c r="I180" s="308"/>
      <c r="J180" s="308"/>
    </row>
    <row r="181" spans="1:10" x14ac:dyDescent="0.25">
      <c r="A181" s="302"/>
      <c r="B181" s="302"/>
      <c r="C181" s="302"/>
      <c r="D181" s="312"/>
      <c r="E181" s="307"/>
      <c r="G181" s="307"/>
      <c r="I181" s="307"/>
      <c r="J181" s="307"/>
    </row>
    <row r="182" spans="1:10" x14ac:dyDescent="0.25">
      <c r="A182" s="302"/>
      <c r="B182" s="302"/>
      <c r="C182" s="302"/>
      <c r="D182" s="312"/>
      <c r="E182" s="319"/>
      <c r="G182" s="319"/>
      <c r="I182" s="319"/>
      <c r="J182" s="319"/>
    </row>
    <row r="183" spans="1:10" x14ac:dyDescent="0.25">
      <c r="A183" s="302"/>
      <c r="B183" s="302"/>
      <c r="C183" s="301"/>
      <c r="D183" s="312"/>
      <c r="E183" s="324"/>
      <c r="G183" s="324"/>
      <c r="I183" s="324"/>
      <c r="J183" s="324"/>
    </row>
    <row r="184" spans="1:10" x14ac:dyDescent="0.25">
      <c r="A184" s="302"/>
      <c r="B184" s="302"/>
      <c r="C184" s="301"/>
      <c r="D184" s="304"/>
      <c r="E184" s="314"/>
      <c r="G184" s="314"/>
      <c r="I184" s="314"/>
      <c r="J184" s="314"/>
    </row>
    <row r="185" spans="1:10" x14ac:dyDescent="0.25">
      <c r="A185" s="302"/>
      <c r="B185" s="302"/>
      <c r="C185" s="302"/>
      <c r="D185" s="305"/>
      <c r="E185" s="306"/>
      <c r="G185" s="306"/>
      <c r="I185" s="306"/>
      <c r="J185" s="306"/>
    </row>
    <row r="186" spans="1:10" x14ac:dyDescent="0.25">
      <c r="A186" s="302"/>
      <c r="B186" s="302"/>
      <c r="C186" s="302"/>
      <c r="D186" s="322"/>
      <c r="E186" s="325"/>
      <c r="G186" s="325"/>
      <c r="I186" s="325"/>
      <c r="J186" s="325"/>
    </row>
    <row r="187" spans="1:10" x14ac:dyDescent="0.25">
      <c r="A187" s="302"/>
      <c r="B187" s="302"/>
      <c r="C187" s="302"/>
      <c r="D187" s="318"/>
      <c r="E187" s="319"/>
      <c r="G187" s="319"/>
      <c r="I187" s="319"/>
      <c r="J187" s="319"/>
    </row>
    <row r="188" spans="1:10" x14ac:dyDescent="0.25">
      <c r="A188" s="302"/>
      <c r="B188" s="301"/>
      <c r="C188" s="302"/>
      <c r="D188" s="318"/>
      <c r="E188" s="326"/>
      <c r="G188" s="326"/>
      <c r="I188" s="326"/>
      <c r="J188" s="326"/>
    </row>
    <row r="189" spans="1:10" x14ac:dyDescent="0.25">
      <c r="A189" s="302"/>
      <c r="B189" s="302"/>
      <c r="C189" s="301"/>
      <c r="D189" s="318"/>
      <c r="E189" s="326"/>
      <c r="G189" s="326"/>
      <c r="I189" s="326"/>
      <c r="J189" s="326"/>
    </row>
    <row r="190" spans="1:10" x14ac:dyDescent="0.25">
      <c r="A190" s="302"/>
      <c r="B190" s="302"/>
      <c r="C190" s="302"/>
      <c r="D190" s="322"/>
      <c r="E190" s="323"/>
      <c r="G190" s="323"/>
      <c r="I190" s="323"/>
      <c r="J190" s="323"/>
    </row>
    <row r="191" spans="1:10" x14ac:dyDescent="0.25">
      <c r="A191" s="302"/>
      <c r="B191" s="302"/>
      <c r="C191" s="302"/>
      <c r="D191" s="318"/>
      <c r="E191" s="319"/>
      <c r="G191" s="319"/>
      <c r="I191" s="319"/>
      <c r="J191" s="319"/>
    </row>
    <row r="192" spans="1:10" x14ac:dyDescent="0.25">
      <c r="A192" s="302"/>
      <c r="B192" s="301"/>
      <c r="C192" s="302"/>
      <c r="D192" s="318"/>
      <c r="E192" s="213"/>
      <c r="G192" s="213"/>
      <c r="I192" s="213"/>
      <c r="J192" s="213"/>
    </row>
    <row r="193" spans="1:10" x14ac:dyDescent="0.25">
      <c r="A193" s="302"/>
      <c r="B193" s="302"/>
      <c r="C193" s="301"/>
      <c r="D193" s="318"/>
      <c r="E193" s="308"/>
      <c r="G193" s="308"/>
      <c r="I193" s="308"/>
      <c r="J193" s="308"/>
    </row>
    <row r="194" spans="1:10" x14ac:dyDescent="0.25">
      <c r="A194" s="302"/>
      <c r="B194" s="302"/>
      <c r="C194" s="301"/>
      <c r="D194" s="304"/>
      <c r="E194" s="314"/>
      <c r="G194" s="314"/>
      <c r="I194" s="314"/>
      <c r="J194" s="314"/>
    </row>
    <row r="195" spans="1:10" x14ac:dyDescent="0.25">
      <c r="A195" s="302"/>
      <c r="B195" s="302"/>
      <c r="C195" s="302"/>
      <c r="D195" s="305"/>
      <c r="E195" s="306"/>
      <c r="G195" s="306"/>
      <c r="I195" s="306"/>
      <c r="J195" s="306"/>
    </row>
    <row r="196" spans="1:10" x14ac:dyDescent="0.25">
      <c r="A196" s="302"/>
      <c r="B196" s="302"/>
      <c r="C196" s="301"/>
      <c r="D196" s="305"/>
      <c r="E196" s="324"/>
      <c r="G196" s="324"/>
      <c r="I196" s="324"/>
      <c r="J196" s="324"/>
    </row>
    <row r="197" spans="1:10" x14ac:dyDescent="0.25">
      <c r="A197" s="302"/>
      <c r="B197" s="302"/>
      <c r="C197" s="302"/>
      <c r="D197" s="322"/>
      <c r="E197" s="323"/>
      <c r="G197" s="323"/>
      <c r="I197" s="323"/>
      <c r="J197" s="323"/>
    </row>
    <row r="198" spans="1:10" x14ac:dyDescent="0.25">
      <c r="A198" s="302"/>
      <c r="B198" s="302"/>
      <c r="C198" s="302"/>
      <c r="D198" s="318"/>
      <c r="E198" s="319"/>
      <c r="G198" s="319"/>
      <c r="I198" s="319"/>
      <c r="J198" s="319"/>
    </row>
    <row r="199" spans="1:10" x14ac:dyDescent="0.25">
      <c r="A199" s="302"/>
      <c r="B199" s="302"/>
      <c r="C199" s="302"/>
      <c r="D199" s="305"/>
      <c r="E199" s="306"/>
      <c r="G199" s="306"/>
      <c r="I199" s="306"/>
      <c r="J199" s="306"/>
    </row>
    <row r="200" spans="1:10" ht="15.75" x14ac:dyDescent="0.25">
      <c r="A200" s="298"/>
      <c r="B200" s="292"/>
      <c r="C200" s="292"/>
      <c r="D200" s="292"/>
      <c r="E200" s="309"/>
      <c r="G200" s="309"/>
      <c r="I200" s="309"/>
      <c r="J200" s="309"/>
    </row>
    <row r="201" spans="1:10" x14ac:dyDescent="0.25">
      <c r="A201" s="301"/>
      <c r="B201" s="302"/>
      <c r="C201" s="302"/>
      <c r="D201" s="303"/>
      <c r="E201" s="309"/>
      <c r="G201" s="309"/>
      <c r="I201" s="309"/>
      <c r="J201" s="309"/>
    </row>
    <row r="202" spans="1:10" x14ac:dyDescent="0.25">
      <c r="A202" s="301"/>
      <c r="B202" s="301"/>
      <c r="C202" s="302"/>
      <c r="D202" s="303"/>
      <c r="E202" s="308"/>
      <c r="G202" s="308"/>
      <c r="I202" s="308"/>
      <c r="J202" s="308"/>
    </row>
    <row r="203" spans="1:10" x14ac:dyDescent="0.25">
      <c r="A203" s="302"/>
      <c r="B203" s="302"/>
      <c r="C203" s="301"/>
      <c r="D203" s="305"/>
      <c r="E203" s="309"/>
      <c r="G203" s="309"/>
      <c r="I203" s="309"/>
      <c r="J203" s="309"/>
    </row>
    <row r="204" spans="1:10" x14ac:dyDescent="0.25">
      <c r="A204" s="302"/>
      <c r="B204" s="302"/>
      <c r="C204" s="302"/>
      <c r="D204" s="311"/>
      <c r="E204" s="307"/>
      <c r="G204" s="307"/>
      <c r="I204" s="307"/>
      <c r="J204" s="307"/>
    </row>
    <row r="205" spans="1:10" x14ac:dyDescent="0.25">
      <c r="A205" s="302"/>
      <c r="B205" s="301"/>
      <c r="C205" s="302"/>
      <c r="D205" s="305"/>
      <c r="E205" s="308"/>
      <c r="G205" s="308"/>
      <c r="I205" s="308"/>
      <c r="J205" s="308"/>
    </row>
    <row r="206" spans="1:10" x14ac:dyDescent="0.25">
      <c r="A206" s="302"/>
      <c r="B206" s="302"/>
      <c r="C206" s="301"/>
      <c r="D206" s="305"/>
      <c r="E206" s="308"/>
      <c r="G206" s="308"/>
      <c r="I206" s="308"/>
      <c r="J206" s="308"/>
    </row>
    <row r="207" spans="1:10" x14ac:dyDescent="0.25">
      <c r="A207" s="302"/>
      <c r="B207" s="302"/>
      <c r="C207" s="302"/>
      <c r="D207" s="304"/>
      <c r="E207" s="314"/>
      <c r="G207" s="314"/>
      <c r="I207" s="314"/>
      <c r="J207" s="314"/>
    </row>
    <row r="208" spans="1:10" x14ac:dyDescent="0.25">
      <c r="A208" s="302"/>
      <c r="B208" s="302"/>
      <c r="C208" s="301"/>
      <c r="D208" s="305"/>
      <c r="E208" s="315"/>
      <c r="G208" s="315"/>
      <c r="I208" s="315"/>
      <c r="J208" s="315"/>
    </row>
    <row r="209" spans="1:10" x14ac:dyDescent="0.25">
      <c r="A209" s="302"/>
      <c r="B209" s="302"/>
      <c r="C209" s="302"/>
      <c r="D209" s="305"/>
      <c r="E209" s="314"/>
      <c r="G209" s="314"/>
      <c r="I209" s="314"/>
      <c r="J209" s="314"/>
    </row>
    <row r="210" spans="1:10" x14ac:dyDescent="0.25">
      <c r="A210" s="302"/>
      <c r="B210" s="301"/>
      <c r="C210" s="302"/>
      <c r="D210" s="312"/>
      <c r="E210" s="309"/>
      <c r="G210" s="309"/>
      <c r="I210" s="309"/>
      <c r="J210" s="309"/>
    </row>
    <row r="211" spans="1:10" x14ac:dyDescent="0.25">
      <c r="A211" s="302"/>
      <c r="B211" s="302"/>
      <c r="C211" s="301"/>
      <c r="D211" s="312"/>
      <c r="E211" s="316"/>
      <c r="G211" s="316"/>
      <c r="I211" s="316"/>
      <c r="J211" s="316"/>
    </row>
    <row r="212" spans="1:10" x14ac:dyDescent="0.25">
      <c r="A212" s="302"/>
      <c r="B212" s="302"/>
      <c r="C212" s="302"/>
      <c r="D212" s="304"/>
      <c r="E212" s="307"/>
      <c r="G212" s="307"/>
      <c r="I212" s="307"/>
      <c r="J212" s="307"/>
    </row>
    <row r="213" spans="1:10" x14ac:dyDescent="0.25">
      <c r="A213" s="301"/>
      <c r="B213" s="302"/>
      <c r="C213" s="302"/>
      <c r="D213" s="303"/>
      <c r="E213" s="309"/>
      <c r="G213" s="309"/>
      <c r="I213" s="309"/>
      <c r="J213" s="309"/>
    </row>
    <row r="214" spans="1:10" x14ac:dyDescent="0.25">
      <c r="A214" s="302"/>
      <c r="B214" s="301"/>
      <c r="C214" s="302"/>
      <c r="D214" s="305"/>
      <c r="E214" s="309"/>
      <c r="G214" s="309"/>
      <c r="I214" s="309"/>
      <c r="J214" s="309"/>
    </row>
    <row r="215" spans="1:10" x14ac:dyDescent="0.25">
      <c r="A215" s="302"/>
      <c r="B215" s="302"/>
      <c r="C215" s="301"/>
      <c r="D215" s="305"/>
      <c r="E215" s="308"/>
      <c r="G215" s="308"/>
      <c r="I215" s="308"/>
      <c r="J215" s="308"/>
    </row>
    <row r="216" spans="1:10" x14ac:dyDescent="0.25">
      <c r="A216" s="302"/>
      <c r="B216" s="302"/>
      <c r="C216" s="301"/>
      <c r="D216" s="304"/>
      <c r="E216" s="307"/>
      <c r="G216" s="307"/>
      <c r="I216" s="307"/>
      <c r="J216" s="307"/>
    </row>
    <row r="217" spans="1:10" x14ac:dyDescent="0.25">
      <c r="A217" s="302"/>
      <c r="B217" s="302"/>
      <c r="C217" s="301"/>
      <c r="D217" s="305"/>
      <c r="E217" s="308"/>
      <c r="G217" s="308"/>
      <c r="I217" s="308"/>
      <c r="J217" s="308"/>
    </row>
    <row r="218" spans="1:10" x14ac:dyDescent="0.25">
      <c r="A218" s="302"/>
      <c r="B218" s="302"/>
      <c r="C218" s="302"/>
      <c r="D218" s="322"/>
      <c r="E218" s="323"/>
      <c r="G218" s="323"/>
      <c r="I218" s="323"/>
      <c r="J218" s="323"/>
    </row>
    <row r="219" spans="1:10" x14ac:dyDescent="0.25">
      <c r="A219" s="302"/>
      <c r="B219" s="302"/>
      <c r="C219" s="301"/>
      <c r="D219" s="312"/>
      <c r="E219" s="324"/>
      <c r="G219" s="324"/>
      <c r="I219" s="324"/>
      <c r="J219" s="324"/>
    </row>
    <row r="220" spans="1:10" x14ac:dyDescent="0.25">
      <c r="A220" s="302"/>
      <c r="B220" s="302"/>
      <c r="C220" s="301"/>
      <c r="D220" s="304"/>
      <c r="E220" s="314"/>
      <c r="G220" s="314"/>
      <c r="I220" s="314"/>
      <c r="J220" s="314"/>
    </row>
    <row r="221" spans="1:10" x14ac:dyDescent="0.25">
      <c r="A221" s="302"/>
      <c r="B221" s="302"/>
      <c r="C221" s="302"/>
      <c r="D221" s="322"/>
      <c r="E221" s="327"/>
      <c r="G221" s="327"/>
      <c r="I221" s="327"/>
      <c r="J221" s="327"/>
    </row>
    <row r="222" spans="1:10" x14ac:dyDescent="0.25">
      <c r="A222" s="302"/>
      <c r="B222" s="301"/>
      <c r="C222" s="302"/>
      <c r="D222" s="318"/>
      <c r="E222" s="213"/>
      <c r="G222" s="213"/>
      <c r="I222" s="213"/>
      <c r="J222" s="213"/>
    </row>
    <row r="223" spans="1:10" x14ac:dyDescent="0.25">
      <c r="A223" s="302"/>
      <c r="B223" s="302"/>
      <c r="C223" s="301"/>
      <c r="D223" s="318"/>
      <c r="E223" s="308"/>
      <c r="G223" s="308"/>
      <c r="I223" s="308"/>
      <c r="J223" s="308"/>
    </row>
    <row r="224" spans="1:10" x14ac:dyDescent="0.25">
      <c r="A224" s="302"/>
      <c r="B224" s="302"/>
      <c r="C224" s="301"/>
      <c r="D224" s="304"/>
      <c r="E224" s="314"/>
      <c r="G224" s="314"/>
      <c r="I224" s="314"/>
      <c r="J224" s="314"/>
    </row>
    <row r="225" spans="1:10" x14ac:dyDescent="0.25">
      <c r="A225" s="302"/>
      <c r="B225" s="302"/>
      <c r="C225" s="301"/>
      <c r="D225" s="304"/>
      <c r="E225" s="314"/>
      <c r="G225" s="314"/>
      <c r="I225" s="314"/>
      <c r="J225" s="314"/>
    </row>
    <row r="226" spans="1:10" x14ac:dyDescent="0.25">
      <c r="A226" s="302"/>
      <c r="B226" s="302"/>
      <c r="C226" s="302"/>
      <c r="D226" s="305"/>
      <c r="E226" s="306"/>
      <c r="G226" s="306"/>
      <c r="I226" s="306"/>
      <c r="J226" s="306"/>
    </row>
    <row r="227" spans="1:10" ht="18.75" x14ac:dyDescent="0.3">
      <c r="A227" s="634"/>
      <c r="B227" s="634"/>
      <c r="C227" s="634"/>
      <c r="D227" s="634"/>
      <c r="E227" s="634"/>
      <c r="G227" s="234"/>
      <c r="I227" s="215"/>
      <c r="J227" s="215"/>
    </row>
    <row r="228" spans="1:10" x14ac:dyDescent="0.25">
      <c r="A228" s="315"/>
      <c r="B228" s="315"/>
      <c r="C228" s="315"/>
      <c r="D228" s="320"/>
      <c r="E228" s="321"/>
      <c r="G228" s="321"/>
      <c r="I228" s="321"/>
      <c r="J228" s="321"/>
    </row>
    <row r="229" spans="1:10" x14ac:dyDescent="0.25">
      <c r="A229" s="302"/>
      <c r="B229" s="302"/>
      <c r="C229" s="302"/>
      <c r="D229" s="328"/>
      <c r="E229" s="127"/>
      <c r="G229" s="127"/>
      <c r="I229" s="127"/>
      <c r="J229" s="127"/>
    </row>
    <row r="230" spans="1:10" ht="15.75" x14ac:dyDescent="0.25">
      <c r="A230" s="329"/>
      <c r="B230" s="301"/>
      <c r="C230" s="301"/>
      <c r="D230" s="330"/>
      <c r="E230" s="331"/>
      <c r="G230" s="331"/>
      <c r="I230" s="331"/>
      <c r="J230" s="331"/>
    </row>
    <row r="231" spans="1:10" x14ac:dyDescent="0.25">
      <c r="A231" s="301"/>
      <c r="B231" s="301"/>
      <c r="C231" s="301"/>
      <c r="D231" s="330"/>
      <c r="E231" s="331"/>
      <c r="G231" s="331"/>
      <c r="I231" s="331"/>
      <c r="J231" s="331"/>
    </row>
    <row r="232" spans="1:10" x14ac:dyDescent="0.25">
      <c r="A232" s="301"/>
      <c r="B232" s="301"/>
      <c r="C232" s="301"/>
      <c r="D232" s="330"/>
      <c r="E232" s="331"/>
      <c r="G232" s="331"/>
      <c r="I232" s="331"/>
      <c r="J232" s="331"/>
    </row>
    <row r="233" spans="1:10" x14ac:dyDescent="0.25">
      <c r="A233" s="301"/>
      <c r="B233" s="301"/>
      <c r="C233" s="301"/>
      <c r="D233" s="330"/>
      <c r="E233" s="331"/>
      <c r="G233" s="331"/>
      <c r="I233" s="331"/>
      <c r="J233" s="331"/>
    </row>
    <row r="234" spans="1:10" x14ac:dyDescent="0.25">
      <c r="A234" s="301"/>
      <c r="B234" s="301"/>
      <c r="C234" s="301"/>
      <c r="D234" s="330"/>
      <c r="E234" s="331"/>
      <c r="G234" s="331"/>
      <c r="I234" s="331"/>
      <c r="J234" s="331"/>
    </row>
    <row r="235" spans="1:10" x14ac:dyDescent="0.25">
      <c r="A235" s="301"/>
      <c r="B235" s="301"/>
      <c r="C235" s="301"/>
      <c r="D235" s="328"/>
      <c r="E235" s="127"/>
      <c r="G235" s="127"/>
      <c r="I235" s="127"/>
      <c r="J235" s="127"/>
    </row>
    <row r="236" spans="1:10" x14ac:dyDescent="0.25">
      <c r="A236" s="301"/>
      <c r="B236" s="301"/>
      <c r="C236" s="301"/>
      <c r="D236" s="330"/>
      <c r="E236" s="331"/>
      <c r="G236" s="331"/>
      <c r="I236" s="331"/>
      <c r="J236" s="331"/>
    </row>
    <row r="237" spans="1:10" x14ac:dyDescent="0.25">
      <c r="A237" s="301"/>
      <c r="B237" s="301"/>
      <c r="C237" s="301"/>
      <c r="D237" s="330"/>
      <c r="E237" s="332"/>
      <c r="G237" s="332"/>
      <c r="I237" s="332"/>
      <c r="J237" s="332"/>
    </row>
    <row r="238" spans="1:10" x14ac:dyDescent="0.25">
      <c r="A238" s="301"/>
      <c r="B238" s="301"/>
      <c r="C238" s="301"/>
      <c r="D238" s="330"/>
      <c r="E238" s="331"/>
      <c r="G238" s="331"/>
      <c r="I238" s="331"/>
      <c r="J238" s="331"/>
    </row>
    <row r="239" spans="1:10" x14ac:dyDescent="0.25">
      <c r="A239" s="301"/>
      <c r="B239" s="301"/>
      <c r="C239" s="301"/>
      <c r="D239" s="330"/>
      <c r="E239" s="315"/>
      <c r="G239" s="315"/>
      <c r="I239" s="315"/>
      <c r="J239" s="315"/>
    </row>
    <row r="240" spans="1:10" x14ac:dyDescent="0.25">
      <c r="A240" s="302"/>
      <c r="B240" s="302"/>
      <c r="C240" s="302"/>
      <c r="D240" s="304"/>
      <c r="E240" s="310"/>
      <c r="G240" s="310"/>
      <c r="I240" s="310"/>
      <c r="J240" s="310"/>
    </row>
    <row r="241" spans="1:10" x14ac:dyDescent="0.25">
      <c r="A241" s="302"/>
      <c r="B241" s="302"/>
      <c r="C241" s="302"/>
      <c r="D241" s="328"/>
      <c r="E241" s="127"/>
      <c r="G241" s="127"/>
      <c r="I241" s="127"/>
      <c r="J241" s="127"/>
    </row>
    <row r="242" spans="1:10" x14ac:dyDescent="0.25">
      <c r="A242" s="302"/>
      <c r="B242" s="302"/>
      <c r="C242" s="302"/>
      <c r="D242" s="328"/>
      <c r="E242" s="127"/>
      <c r="G242" s="127"/>
      <c r="I242" s="127"/>
      <c r="J242" s="127"/>
    </row>
    <row r="243" spans="1:10" x14ac:dyDescent="0.25">
      <c r="A243" s="302"/>
      <c r="B243" s="302"/>
      <c r="C243" s="302"/>
      <c r="D243" s="328"/>
      <c r="E243" s="127"/>
      <c r="G243" s="127"/>
      <c r="I243" s="127"/>
      <c r="J243" s="127"/>
    </row>
    <row r="244" spans="1:10" x14ac:dyDescent="0.25">
      <c r="A244" s="302"/>
      <c r="B244" s="302"/>
      <c r="C244" s="302"/>
      <c r="D244" s="328"/>
      <c r="E244" s="127"/>
      <c r="G244" s="127"/>
      <c r="I244" s="127"/>
      <c r="J244" s="127"/>
    </row>
    <row r="245" spans="1:10" x14ac:dyDescent="0.25">
      <c r="A245" s="302"/>
      <c r="B245" s="302"/>
      <c r="C245" s="302"/>
      <c r="D245" s="328"/>
      <c r="E245" s="127"/>
      <c r="G245" s="127"/>
      <c r="I245" s="127"/>
      <c r="J245" s="127"/>
    </row>
    <row r="246" spans="1:10" x14ac:dyDescent="0.25">
      <c r="A246" s="302"/>
      <c r="B246" s="302"/>
      <c r="C246" s="302"/>
      <c r="D246" s="328"/>
      <c r="E246" s="127"/>
      <c r="G246" s="127"/>
      <c r="I246" s="127"/>
      <c r="J246" s="127"/>
    </row>
    <row r="247" spans="1:10" x14ac:dyDescent="0.25">
      <c r="A247" s="302"/>
      <c r="B247" s="302"/>
      <c r="C247" s="302"/>
      <c r="D247" s="328"/>
      <c r="E247" s="127"/>
      <c r="G247" s="127"/>
      <c r="I247" s="127"/>
      <c r="J247" s="127"/>
    </row>
    <row r="248" spans="1:10" x14ac:dyDescent="0.25">
      <c r="A248" s="302"/>
      <c r="B248" s="302"/>
      <c r="C248" s="302"/>
      <c r="D248" s="328"/>
      <c r="E248" s="127"/>
      <c r="G248" s="127"/>
      <c r="I248" s="127"/>
      <c r="J248" s="127"/>
    </row>
    <row r="249" spans="1:10" x14ac:dyDescent="0.25">
      <c r="A249" s="302"/>
      <c r="B249" s="302"/>
      <c r="C249" s="302"/>
      <c r="D249" s="328"/>
      <c r="E249" s="127"/>
      <c r="G249" s="127"/>
      <c r="I249" s="127"/>
      <c r="J249" s="127"/>
    </row>
    <row r="250" spans="1:10" x14ac:dyDescent="0.25">
      <c r="A250" s="302"/>
      <c r="B250" s="302"/>
      <c r="C250" s="302"/>
      <c r="D250" s="328"/>
      <c r="E250" s="127"/>
      <c r="G250" s="127"/>
      <c r="I250" s="127"/>
      <c r="J250" s="127"/>
    </row>
    <row r="251" spans="1:10" x14ac:dyDescent="0.25">
      <c r="A251" s="302"/>
      <c r="B251" s="302"/>
      <c r="C251" s="302"/>
      <c r="D251" s="328"/>
    </row>
    <row r="252" spans="1:10" x14ac:dyDescent="0.25">
      <c r="A252" s="302"/>
      <c r="B252" s="302"/>
      <c r="C252" s="302"/>
      <c r="D252" s="328"/>
    </row>
    <row r="253" spans="1:10" x14ac:dyDescent="0.25">
      <c r="A253" s="302"/>
      <c r="B253" s="302"/>
      <c r="C253" s="302"/>
      <c r="D253" s="328"/>
    </row>
    <row r="254" spans="1:10" x14ac:dyDescent="0.25">
      <c r="A254" s="302"/>
      <c r="B254" s="302"/>
      <c r="C254" s="302"/>
      <c r="D254" s="328"/>
    </row>
    <row r="255" spans="1:10" x14ac:dyDescent="0.25">
      <c r="A255" s="302"/>
      <c r="B255" s="302"/>
      <c r="C255" s="302"/>
      <c r="D255" s="328"/>
    </row>
    <row r="256" spans="1:10" x14ac:dyDescent="0.25">
      <c r="A256" s="302"/>
      <c r="B256" s="302"/>
      <c r="C256" s="302"/>
      <c r="D256" s="328"/>
    </row>
    <row r="257" spans="1:4" x14ac:dyDescent="0.25">
      <c r="A257" s="302"/>
      <c r="B257" s="302"/>
      <c r="C257" s="302"/>
      <c r="D257" s="328"/>
    </row>
    <row r="258" spans="1:4" x14ac:dyDescent="0.25">
      <c r="A258" s="302"/>
      <c r="B258" s="302"/>
      <c r="C258" s="302"/>
      <c r="D258" s="328"/>
    </row>
    <row r="259" spans="1:4" x14ac:dyDescent="0.25">
      <c r="A259" s="302"/>
      <c r="B259" s="302"/>
      <c r="C259" s="302"/>
      <c r="D259" s="328"/>
    </row>
    <row r="260" spans="1:4" x14ac:dyDescent="0.25">
      <c r="A260" s="302"/>
      <c r="B260" s="302"/>
      <c r="C260" s="302"/>
      <c r="D260" s="328"/>
    </row>
    <row r="261" spans="1:4" x14ac:dyDescent="0.25">
      <c r="A261" s="302"/>
      <c r="B261" s="302"/>
      <c r="C261" s="302"/>
      <c r="D261" s="328"/>
    </row>
    <row r="262" spans="1:4" x14ac:dyDescent="0.25">
      <c r="A262" s="302"/>
      <c r="B262" s="302"/>
      <c r="C262" s="302"/>
      <c r="D262" s="328"/>
    </row>
    <row r="263" spans="1:4" x14ac:dyDescent="0.25">
      <c r="A263" s="302"/>
      <c r="B263" s="302"/>
      <c r="C263" s="302"/>
      <c r="D263" s="328"/>
    </row>
    <row r="264" spans="1:4" x14ac:dyDescent="0.25">
      <c r="A264" s="302"/>
      <c r="B264" s="302"/>
      <c r="C264" s="302"/>
      <c r="D264" s="328"/>
    </row>
    <row r="265" spans="1:4" x14ac:dyDescent="0.25">
      <c r="A265" s="302"/>
      <c r="B265" s="302"/>
      <c r="C265" s="302"/>
      <c r="D265" s="328"/>
    </row>
    <row r="266" spans="1:4" x14ac:dyDescent="0.25">
      <c r="A266" s="302"/>
      <c r="B266" s="302"/>
      <c r="C266" s="302"/>
      <c r="D266" s="328"/>
    </row>
    <row r="267" spans="1:4" x14ac:dyDescent="0.25">
      <c r="A267" s="302"/>
      <c r="B267" s="302"/>
      <c r="C267" s="302"/>
      <c r="D267" s="328"/>
    </row>
    <row r="268" spans="1:4" x14ac:dyDescent="0.25">
      <c r="A268" s="302"/>
      <c r="B268" s="302"/>
      <c r="C268" s="302"/>
      <c r="D268" s="328"/>
    </row>
    <row r="269" spans="1:4" x14ac:dyDescent="0.25">
      <c r="A269" s="302"/>
      <c r="B269" s="302"/>
      <c r="C269" s="302"/>
      <c r="D269" s="328"/>
    </row>
    <row r="270" spans="1:4" x14ac:dyDescent="0.25">
      <c r="A270" s="302"/>
      <c r="B270" s="302"/>
      <c r="C270" s="302"/>
      <c r="D270" s="328"/>
    </row>
    <row r="271" spans="1:4" x14ac:dyDescent="0.25">
      <c r="A271" s="302"/>
      <c r="B271" s="302"/>
      <c r="C271" s="302"/>
      <c r="D271" s="328"/>
    </row>
    <row r="272" spans="1:4" x14ac:dyDescent="0.25">
      <c r="A272" s="302"/>
      <c r="B272" s="302"/>
      <c r="C272" s="302"/>
      <c r="D272" s="328"/>
    </row>
    <row r="273" spans="1:4" x14ac:dyDescent="0.25">
      <c r="A273" s="302"/>
      <c r="B273" s="302"/>
      <c r="C273" s="302"/>
      <c r="D273" s="328"/>
    </row>
    <row r="274" spans="1:4" x14ac:dyDescent="0.25">
      <c r="A274" s="302"/>
      <c r="B274" s="302"/>
      <c r="C274" s="302"/>
      <c r="D274" s="328"/>
    </row>
    <row r="275" spans="1:4" x14ac:dyDescent="0.25">
      <c r="A275" s="302"/>
      <c r="B275" s="302"/>
      <c r="C275" s="302"/>
      <c r="D275" s="328"/>
    </row>
    <row r="276" spans="1:4" x14ac:dyDescent="0.25">
      <c r="A276" s="302"/>
      <c r="B276" s="302"/>
      <c r="C276" s="302"/>
      <c r="D276" s="328"/>
    </row>
    <row r="277" spans="1:4" x14ac:dyDescent="0.25">
      <c r="A277" s="302"/>
      <c r="B277" s="302"/>
      <c r="C277" s="302"/>
      <c r="D277" s="328"/>
    </row>
    <row r="278" spans="1:4" x14ac:dyDescent="0.25">
      <c r="A278" s="302"/>
      <c r="B278" s="302"/>
      <c r="C278" s="302"/>
      <c r="D278" s="328"/>
    </row>
    <row r="279" spans="1:4" x14ac:dyDescent="0.25">
      <c r="A279" s="302"/>
      <c r="B279" s="302"/>
      <c r="C279" s="302"/>
      <c r="D279" s="328"/>
    </row>
    <row r="280" spans="1:4" x14ac:dyDescent="0.25">
      <c r="A280" s="302"/>
      <c r="B280" s="302"/>
      <c r="C280" s="302"/>
      <c r="D280" s="328"/>
    </row>
    <row r="281" spans="1:4" x14ac:dyDescent="0.25">
      <c r="A281" s="302"/>
      <c r="B281" s="302"/>
      <c r="C281" s="302"/>
      <c r="D281" s="328"/>
    </row>
    <row r="282" spans="1:4" x14ac:dyDescent="0.25">
      <c r="A282" s="302"/>
      <c r="B282" s="302"/>
      <c r="C282" s="302"/>
      <c r="D282" s="328"/>
    </row>
    <row r="283" spans="1:4" x14ac:dyDescent="0.25">
      <c r="A283" s="302"/>
      <c r="B283" s="302"/>
      <c r="C283" s="302"/>
      <c r="D283" s="328"/>
    </row>
    <row r="284" spans="1:4" x14ac:dyDescent="0.25">
      <c r="A284" s="302"/>
      <c r="B284" s="302"/>
      <c r="C284" s="302"/>
      <c r="D284" s="328"/>
    </row>
    <row r="285" spans="1:4" x14ac:dyDescent="0.25">
      <c r="A285" s="302"/>
      <c r="B285" s="302"/>
      <c r="C285" s="302"/>
      <c r="D285" s="328"/>
    </row>
    <row r="286" spans="1:4" x14ac:dyDescent="0.25">
      <c r="A286" s="302"/>
      <c r="B286" s="302"/>
      <c r="C286" s="302"/>
      <c r="D286" s="328"/>
    </row>
    <row r="287" spans="1:4" x14ac:dyDescent="0.25">
      <c r="A287" s="302"/>
      <c r="B287" s="302"/>
      <c r="C287" s="302"/>
      <c r="D287" s="328"/>
    </row>
    <row r="288" spans="1:4" x14ac:dyDescent="0.25">
      <c r="A288" s="302"/>
      <c r="B288" s="302"/>
      <c r="C288" s="302"/>
      <c r="D288" s="328"/>
    </row>
    <row r="289" spans="1:4" x14ac:dyDescent="0.25">
      <c r="A289" s="302"/>
      <c r="B289" s="302"/>
      <c r="C289" s="302"/>
      <c r="D289" s="328"/>
    </row>
    <row r="290" spans="1:4" x14ac:dyDescent="0.25">
      <c r="A290" s="302"/>
      <c r="B290" s="302"/>
      <c r="C290" s="302"/>
      <c r="D290" s="328"/>
    </row>
    <row r="291" spans="1:4" x14ac:dyDescent="0.25">
      <c r="A291" s="302"/>
      <c r="B291" s="302"/>
      <c r="C291" s="302"/>
      <c r="D291" s="328"/>
    </row>
    <row r="292" spans="1:4" x14ac:dyDescent="0.25">
      <c r="A292" s="302"/>
      <c r="B292" s="302"/>
      <c r="C292" s="302"/>
      <c r="D292" s="328"/>
    </row>
    <row r="293" spans="1:4" x14ac:dyDescent="0.25">
      <c r="A293" s="302"/>
      <c r="B293" s="302"/>
      <c r="C293" s="302"/>
      <c r="D293" s="328"/>
    </row>
    <row r="294" spans="1:4" x14ac:dyDescent="0.25">
      <c r="A294" s="302"/>
      <c r="B294" s="302"/>
      <c r="C294" s="302"/>
      <c r="D294" s="328"/>
    </row>
    <row r="295" spans="1:4" x14ac:dyDescent="0.25">
      <c r="A295" s="302"/>
      <c r="B295" s="302"/>
      <c r="C295" s="302"/>
      <c r="D295" s="328"/>
    </row>
    <row r="296" spans="1:4" x14ac:dyDescent="0.25">
      <c r="A296" s="302"/>
      <c r="B296" s="302"/>
      <c r="C296" s="302"/>
      <c r="D296" s="328"/>
    </row>
    <row r="297" spans="1:4" x14ac:dyDescent="0.25">
      <c r="A297" s="302"/>
      <c r="B297" s="302"/>
      <c r="C297" s="302"/>
      <c r="D297" s="328"/>
    </row>
    <row r="298" spans="1:4" x14ac:dyDescent="0.25">
      <c r="A298" s="302"/>
      <c r="B298" s="302"/>
      <c r="C298" s="302"/>
      <c r="D298" s="328"/>
    </row>
    <row r="299" spans="1:4" x14ac:dyDescent="0.25">
      <c r="A299" s="302"/>
      <c r="B299" s="302"/>
      <c r="C299" s="302"/>
      <c r="D299" s="328"/>
    </row>
    <row r="300" spans="1:4" x14ac:dyDescent="0.25">
      <c r="A300" s="302"/>
      <c r="B300" s="302"/>
      <c r="C300" s="302"/>
      <c r="D300" s="328"/>
    </row>
    <row r="301" spans="1:4" x14ac:dyDescent="0.25">
      <c r="A301" s="302"/>
      <c r="B301" s="302"/>
      <c r="C301" s="302"/>
      <c r="D301" s="328"/>
    </row>
    <row r="302" spans="1:4" x14ac:dyDescent="0.25">
      <c r="A302" s="302"/>
      <c r="B302" s="302"/>
      <c r="C302" s="302"/>
      <c r="D302" s="328"/>
    </row>
    <row r="303" spans="1:4" x14ac:dyDescent="0.25">
      <c r="A303" s="302"/>
      <c r="B303" s="302"/>
      <c r="C303" s="302"/>
      <c r="D303" s="328"/>
    </row>
    <row r="304" spans="1:4" x14ac:dyDescent="0.25">
      <c r="A304" s="302"/>
      <c r="B304" s="302"/>
      <c r="C304" s="302"/>
      <c r="D304" s="328"/>
    </row>
    <row r="305" spans="1:4" x14ac:dyDescent="0.25">
      <c r="A305" s="302"/>
      <c r="B305" s="302"/>
      <c r="C305" s="302"/>
      <c r="D305" s="328"/>
    </row>
    <row r="306" spans="1:4" x14ac:dyDescent="0.25">
      <c r="A306" s="302"/>
      <c r="B306" s="302"/>
      <c r="C306" s="302"/>
      <c r="D306" s="328"/>
    </row>
    <row r="307" spans="1:4" x14ac:dyDescent="0.25">
      <c r="A307" s="302"/>
      <c r="B307" s="302"/>
      <c r="C307" s="302"/>
      <c r="D307" s="328"/>
    </row>
    <row r="308" spans="1:4" x14ac:dyDescent="0.25">
      <c r="A308" s="302"/>
      <c r="B308" s="302"/>
      <c r="C308" s="302"/>
      <c r="D308" s="328"/>
    </row>
    <row r="309" spans="1:4" x14ac:dyDescent="0.25">
      <c r="A309" s="302"/>
      <c r="B309" s="302"/>
      <c r="C309" s="302"/>
      <c r="D309" s="328"/>
    </row>
    <row r="310" spans="1:4" x14ac:dyDescent="0.25">
      <c r="A310" s="302"/>
      <c r="B310" s="302"/>
      <c r="C310" s="302"/>
      <c r="D310" s="328"/>
    </row>
    <row r="311" spans="1:4" x14ac:dyDescent="0.25">
      <c r="A311" s="302"/>
      <c r="B311" s="302"/>
      <c r="C311" s="302"/>
      <c r="D311" s="328"/>
    </row>
    <row r="312" spans="1:4" x14ac:dyDescent="0.25">
      <c r="A312" s="302"/>
      <c r="B312" s="302"/>
      <c r="C312" s="302"/>
      <c r="D312" s="328"/>
    </row>
    <row r="313" spans="1:4" x14ac:dyDescent="0.25">
      <c r="A313" s="302"/>
      <c r="B313" s="302"/>
      <c r="C313" s="302"/>
      <c r="D313" s="328"/>
    </row>
    <row r="314" spans="1:4" x14ac:dyDescent="0.25">
      <c r="A314" s="302"/>
      <c r="B314" s="302"/>
      <c r="C314" s="302"/>
      <c r="D314" s="328"/>
    </row>
    <row r="315" spans="1:4" x14ac:dyDescent="0.25">
      <c r="A315" s="302"/>
      <c r="B315" s="302"/>
      <c r="C315" s="302"/>
      <c r="D315" s="328"/>
    </row>
    <row r="316" spans="1:4" x14ac:dyDescent="0.25">
      <c r="A316" s="302"/>
      <c r="B316" s="302"/>
      <c r="C316" s="302"/>
      <c r="D316" s="328"/>
    </row>
    <row r="317" spans="1:4" x14ac:dyDescent="0.25">
      <c r="A317" s="302"/>
      <c r="B317" s="302"/>
      <c r="C317" s="302"/>
      <c r="D317" s="328"/>
    </row>
    <row r="318" spans="1:4" x14ac:dyDescent="0.25">
      <c r="A318" s="302"/>
      <c r="B318" s="302"/>
      <c r="C318" s="302"/>
      <c r="D318" s="328"/>
    </row>
    <row r="319" spans="1:4" x14ac:dyDescent="0.25">
      <c r="A319" s="302"/>
      <c r="B319" s="302"/>
      <c r="C319" s="302"/>
      <c r="D319" s="328"/>
    </row>
    <row r="320" spans="1:4" x14ac:dyDescent="0.25">
      <c r="A320" s="302"/>
      <c r="B320" s="302"/>
      <c r="C320" s="302"/>
      <c r="D320" s="328"/>
    </row>
    <row r="321" spans="1:4" x14ac:dyDescent="0.25">
      <c r="A321" s="302"/>
      <c r="B321" s="302"/>
      <c r="C321" s="302"/>
      <c r="D321" s="328"/>
    </row>
    <row r="322" spans="1:4" x14ac:dyDescent="0.25">
      <c r="A322" s="302"/>
      <c r="B322" s="302"/>
      <c r="C322" s="302"/>
      <c r="D322" s="328"/>
    </row>
    <row r="323" spans="1:4" x14ac:dyDescent="0.25">
      <c r="A323" s="302"/>
      <c r="B323" s="302"/>
      <c r="C323" s="302"/>
      <c r="D323" s="328"/>
    </row>
    <row r="324" spans="1:4" x14ac:dyDescent="0.25">
      <c r="A324" s="302"/>
      <c r="B324" s="302"/>
      <c r="C324" s="302"/>
      <c r="D324" s="328"/>
    </row>
    <row r="325" spans="1:4" x14ac:dyDescent="0.25">
      <c r="A325" s="302"/>
      <c r="B325" s="302"/>
      <c r="C325" s="302"/>
      <c r="D325" s="328"/>
    </row>
    <row r="326" spans="1:4" x14ac:dyDescent="0.25">
      <c r="A326" s="302"/>
      <c r="B326" s="302"/>
      <c r="C326" s="302"/>
      <c r="D326" s="328"/>
    </row>
    <row r="327" spans="1:4" x14ac:dyDescent="0.25">
      <c r="A327" s="302"/>
      <c r="B327" s="302"/>
      <c r="C327" s="302"/>
      <c r="D327" s="328"/>
    </row>
    <row r="328" spans="1:4" x14ac:dyDescent="0.25">
      <c r="A328" s="302"/>
      <c r="B328" s="302"/>
      <c r="C328" s="302"/>
      <c r="D328" s="328"/>
    </row>
    <row r="329" spans="1:4" x14ac:dyDescent="0.25">
      <c r="A329" s="302"/>
      <c r="B329" s="302"/>
      <c r="C329" s="302"/>
      <c r="D329" s="328"/>
    </row>
    <row r="330" spans="1:4" x14ac:dyDescent="0.25">
      <c r="A330" s="302"/>
      <c r="B330" s="302"/>
      <c r="C330" s="302"/>
      <c r="D330" s="328"/>
    </row>
    <row r="331" spans="1:4" x14ac:dyDescent="0.25">
      <c r="A331" s="302"/>
      <c r="B331" s="302"/>
      <c r="C331" s="302"/>
      <c r="D331" s="328"/>
    </row>
    <row r="332" spans="1:4" x14ac:dyDescent="0.25">
      <c r="A332" s="302"/>
      <c r="B332" s="302"/>
      <c r="C332" s="302"/>
      <c r="D332" s="328"/>
    </row>
    <row r="333" spans="1:4" x14ac:dyDescent="0.25">
      <c r="A333" s="302"/>
      <c r="B333" s="302"/>
      <c r="C333" s="302"/>
      <c r="D333" s="328"/>
    </row>
    <row r="334" spans="1:4" x14ac:dyDescent="0.25">
      <c r="A334" s="302"/>
      <c r="B334" s="302"/>
      <c r="C334" s="302"/>
      <c r="D334" s="328"/>
    </row>
    <row r="335" spans="1:4" x14ac:dyDescent="0.25">
      <c r="A335" s="302"/>
      <c r="B335" s="302"/>
      <c r="C335" s="302"/>
      <c r="D335" s="328"/>
    </row>
    <row r="336" spans="1:4" x14ac:dyDescent="0.25">
      <c r="A336" s="302"/>
      <c r="B336" s="302"/>
      <c r="C336" s="302"/>
      <c r="D336" s="328"/>
    </row>
    <row r="337" spans="1:4" x14ac:dyDescent="0.25">
      <c r="A337" s="302"/>
      <c r="B337" s="302"/>
      <c r="C337" s="302"/>
      <c r="D337" s="328"/>
    </row>
    <row r="338" spans="1:4" x14ac:dyDescent="0.25">
      <c r="A338" s="302"/>
      <c r="B338" s="302"/>
      <c r="C338" s="302"/>
      <c r="D338" s="328"/>
    </row>
    <row r="339" spans="1:4" x14ac:dyDescent="0.25">
      <c r="A339" s="302"/>
      <c r="B339" s="302"/>
      <c r="C339" s="302"/>
      <c r="D339" s="328"/>
    </row>
    <row r="340" spans="1:4" x14ac:dyDescent="0.25">
      <c r="A340" s="302"/>
      <c r="B340" s="302"/>
      <c r="C340" s="302"/>
      <c r="D340" s="328"/>
    </row>
    <row r="341" spans="1:4" x14ac:dyDescent="0.25">
      <c r="A341" s="302"/>
      <c r="B341" s="302"/>
      <c r="C341" s="302"/>
      <c r="D341" s="328"/>
    </row>
    <row r="342" spans="1:4" x14ac:dyDescent="0.25">
      <c r="A342" s="302"/>
      <c r="B342" s="302"/>
      <c r="C342" s="302"/>
      <c r="D342" s="328"/>
    </row>
    <row r="343" spans="1:4" x14ac:dyDescent="0.25">
      <c r="A343" s="302"/>
      <c r="B343" s="302"/>
      <c r="C343" s="302"/>
      <c r="D343" s="328"/>
    </row>
    <row r="344" spans="1:4" x14ac:dyDescent="0.25">
      <c r="A344" s="302"/>
      <c r="B344" s="302"/>
      <c r="C344" s="302"/>
      <c r="D344" s="328"/>
    </row>
    <row r="345" spans="1:4" x14ac:dyDescent="0.25">
      <c r="A345" s="302"/>
      <c r="B345" s="302"/>
      <c r="C345" s="302"/>
      <c r="D345" s="328"/>
    </row>
    <row r="346" spans="1:4" x14ac:dyDescent="0.25">
      <c r="A346" s="302"/>
      <c r="B346" s="302"/>
      <c r="C346" s="302"/>
      <c r="D346" s="328"/>
    </row>
    <row r="347" spans="1:4" x14ac:dyDescent="0.25">
      <c r="A347" s="302"/>
      <c r="B347" s="302"/>
      <c r="C347" s="302"/>
      <c r="D347" s="328"/>
    </row>
    <row r="348" spans="1:4" x14ac:dyDescent="0.25">
      <c r="A348" s="302"/>
      <c r="B348" s="302"/>
      <c r="C348" s="302"/>
      <c r="D348" s="328"/>
    </row>
    <row r="349" spans="1:4" x14ac:dyDescent="0.25">
      <c r="A349" s="302"/>
      <c r="B349" s="302"/>
      <c r="C349" s="302"/>
      <c r="D349" s="328"/>
    </row>
    <row r="350" spans="1:4" x14ac:dyDescent="0.25">
      <c r="A350" s="302"/>
      <c r="B350" s="302"/>
      <c r="C350" s="302"/>
      <c r="D350" s="328"/>
    </row>
    <row r="351" spans="1:4" x14ac:dyDescent="0.25">
      <c r="A351" s="302"/>
      <c r="B351" s="302"/>
      <c r="C351" s="302"/>
      <c r="D351" s="328"/>
    </row>
    <row r="352" spans="1:4" x14ac:dyDescent="0.25">
      <c r="A352" s="302"/>
      <c r="B352" s="302"/>
      <c r="C352" s="302"/>
      <c r="D352" s="328"/>
    </row>
    <row r="353" spans="1:4" x14ac:dyDescent="0.25">
      <c r="A353" s="302"/>
      <c r="B353" s="302"/>
      <c r="C353" s="302"/>
      <c r="D353" s="328"/>
    </row>
    <row r="354" spans="1:4" x14ac:dyDescent="0.25">
      <c r="A354" s="302"/>
      <c r="B354" s="302"/>
      <c r="C354" s="302"/>
      <c r="D354" s="328"/>
    </row>
    <row r="355" spans="1:4" x14ac:dyDescent="0.25">
      <c r="A355" s="302"/>
      <c r="B355" s="302"/>
      <c r="C355" s="302"/>
      <c r="D355" s="328"/>
    </row>
    <row r="356" spans="1:4" x14ac:dyDescent="0.25">
      <c r="A356" s="302"/>
      <c r="B356" s="302"/>
      <c r="C356" s="302"/>
      <c r="D356" s="328"/>
    </row>
    <row r="357" spans="1:4" x14ac:dyDescent="0.25">
      <c r="A357" s="302"/>
      <c r="B357" s="302"/>
      <c r="C357" s="302"/>
      <c r="D357" s="328"/>
    </row>
    <row r="358" spans="1:4" x14ac:dyDescent="0.25">
      <c r="A358" s="302"/>
      <c r="B358" s="302"/>
      <c r="C358" s="302"/>
      <c r="D358" s="328"/>
    </row>
    <row r="359" spans="1:4" x14ac:dyDescent="0.25">
      <c r="A359" s="302"/>
      <c r="B359" s="302"/>
      <c r="C359" s="302"/>
      <c r="D359" s="328"/>
    </row>
    <row r="360" spans="1:4" x14ac:dyDescent="0.25">
      <c r="A360" s="302"/>
      <c r="B360" s="302"/>
      <c r="C360" s="302"/>
      <c r="D360" s="328"/>
    </row>
    <row r="361" spans="1:4" x14ac:dyDescent="0.25">
      <c r="A361" s="302"/>
      <c r="B361" s="302"/>
      <c r="C361" s="302"/>
      <c r="D361" s="328"/>
    </row>
    <row r="362" spans="1:4" x14ac:dyDescent="0.25">
      <c r="A362" s="302"/>
      <c r="B362" s="302"/>
      <c r="C362" s="302"/>
      <c r="D362" s="328"/>
    </row>
    <row r="363" spans="1:4" x14ac:dyDescent="0.25">
      <c r="A363" s="302"/>
      <c r="B363" s="302"/>
      <c r="C363" s="302"/>
      <c r="D363" s="328"/>
    </row>
    <row r="364" spans="1:4" x14ac:dyDescent="0.25">
      <c r="A364" s="302"/>
      <c r="B364" s="302"/>
      <c r="C364" s="302"/>
      <c r="D364" s="328"/>
    </row>
    <row r="365" spans="1:4" x14ac:dyDescent="0.25">
      <c r="A365" s="302"/>
      <c r="B365" s="302"/>
      <c r="C365" s="302"/>
      <c r="D365" s="328"/>
    </row>
    <row r="366" spans="1:4" x14ac:dyDescent="0.25">
      <c r="A366" s="302"/>
      <c r="B366" s="302"/>
      <c r="C366" s="302"/>
      <c r="D366" s="328"/>
    </row>
    <row r="367" spans="1:4" x14ac:dyDescent="0.25">
      <c r="A367" s="302"/>
      <c r="B367" s="302"/>
      <c r="C367" s="302"/>
      <c r="D367" s="328"/>
    </row>
    <row r="368" spans="1:4" x14ac:dyDescent="0.25">
      <c r="A368" s="302"/>
      <c r="B368" s="302"/>
      <c r="C368" s="302"/>
      <c r="D368" s="328"/>
    </row>
    <row r="369" spans="1:4" x14ac:dyDescent="0.25">
      <c r="A369" s="302"/>
      <c r="B369" s="302"/>
      <c r="C369" s="302"/>
      <c r="D369" s="328"/>
    </row>
    <row r="370" spans="1:4" x14ac:dyDescent="0.25">
      <c r="A370" s="302"/>
      <c r="B370" s="302"/>
      <c r="C370" s="302"/>
      <c r="D370" s="328"/>
    </row>
    <row r="371" spans="1:4" x14ac:dyDescent="0.25">
      <c r="A371" s="302"/>
      <c r="B371" s="302"/>
      <c r="C371" s="302"/>
      <c r="D371" s="328"/>
    </row>
    <row r="372" spans="1:4" x14ac:dyDescent="0.25">
      <c r="A372" s="302"/>
      <c r="B372" s="302"/>
      <c r="C372" s="302"/>
      <c r="D372" s="328"/>
    </row>
    <row r="373" spans="1:4" x14ac:dyDescent="0.25">
      <c r="A373" s="302"/>
      <c r="B373" s="302"/>
      <c r="C373" s="302"/>
      <c r="D373" s="328"/>
    </row>
    <row r="374" spans="1:4" x14ac:dyDescent="0.25">
      <c r="A374" s="302"/>
      <c r="B374" s="302"/>
      <c r="C374" s="302"/>
      <c r="D374" s="328"/>
    </row>
    <row r="375" spans="1:4" x14ac:dyDescent="0.25">
      <c r="A375" s="302"/>
      <c r="B375" s="302"/>
      <c r="C375" s="302"/>
      <c r="D375" s="328"/>
    </row>
    <row r="376" spans="1:4" x14ac:dyDescent="0.25">
      <c r="A376" s="302"/>
      <c r="B376" s="302"/>
      <c r="C376" s="302"/>
      <c r="D376" s="328"/>
    </row>
    <row r="377" spans="1:4" x14ac:dyDescent="0.25">
      <c r="A377" s="302"/>
      <c r="B377" s="302"/>
      <c r="C377" s="302"/>
      <c r="D377" s="328"/>
    </row>
    <row r="378" spans="1:4" x14ac:dyDescent="0.25">
      <c r="A378" s="302"/>
      <c r="B378" s="302"/>
      <c r="C378" s="302"/>
      <c r="D378" s="328"/>
    </row>
    <row r="379" spans="1:4" x14ac:dyDescent="0.25">
      <c r="A379" s="302"/>
      <c r="B379" s="302"/>
      <c r="C379" s="302"/>
      <c r="D379" s="328"/>
    </row>
    <row r="380" spans="1:4" x14ac:dyDescent="0.25">
      <c r="A380" s="302"/>
      <c r="B380" s="302"/>
      <c r="C380" s="302"/>
      <c r="D380" s="328"/>
    </row>
    <row r="381" spans="1:4" x14ac:dyDescent="0.25">
      <c r="A381" s="302"/>
      <c r="B381" s="302"/>
      <c r="C381" s="302"/>
      <c r="D381" s="328"/>
    </row>
    <row r="382" spans="1:4" x14ac:dyDescent="0.25">
      <c r="A382" s="302"/>
      <c r="B382" s="302"/>
      <c r="C382" s="302"/>
      <c r="D382" s="328"/>
    </row>
    <row r="383" spans="1:4" x14ac:dyDescent="0.25">
      <c r="A383" s="302"/>
      <c r="B383" s="302"/>
      <c r="C383" s="302"/>
      <c r="D383" s="328"/>
    </row>
    <row r="384" spans="1:4" x14ac:dyDescent="0.25">
      <c r="A384" s="302"/>
      <c r="B384" s="302"/>
      <c r="C384" s="302"/>
      <c r="D384" s="328"/>
    </row>
    <row r="385" spans="1:4" x14ac:dyDescent="0.25">
      <c r="A385" s="302"/>
      <c r="B385" s="302"/>
      <c r="C385" s="302"/>
      <c r="D385" s="328"/>
    </row>
    <row r="386" spans="1:4" x14ac:dyDescent="0.25">
      <c r="A386" s="302"/>
      <c r="B386" s="302"/>
      <c r="C386" s="302"/>
      <c r="D386" s="328"/>
    </row>
    <row r="387" spans="1:4" x14ac:dyDescent="0.25">
      <c r="A387" s="302"/>
      <c r="B387" s="302"/>
      <c r="C387" s="302"/>
      <c r="D387" s="328"/>
    </row>
    <row r="388" spans="1:4" x14ac:dyDescent="0.25">
      <c r="A388" s="302"/>
      <c r="B388" s="302"/>
      <c r="C388" s="302"/>
      <c r="D388" s="328"/>
    </row>
    <row r="389" spans="1:4" x14ac:dyDescent="0.25">
      <c r="A389" s="302"/>
      <c r="B389" s="302"/>
      <c r="C389" s="302"/>
      <c r="D389" s="328"/>
    </row>
    <row r="390" spans="1:4" x14ac:dyDescent="0.25">
      <c r="A390" s="302"/>
      <c r="B390" s="302"/>
      <c r="C390" s="302"/>
      <c r="D390" s="328"/>
    </row>
    <row r="391" spans="1:4" x14ac:dyDescent="0.25">
      <c r="A391" s="302"/>
      <c r="B391" s="302"/>
      <c r="C391" s="302"/>
      <c r="D391" s="328"/>
    </row>
    <row r="392" spans="1:4" x14ac:dyDescent="0.25">
      <c r="A392" s="302"/>
      <c r="B392" s="302"/>
      <c r="C392" s="302"/>
      <c r="D392" s="328"/>
    </row>
    <row r="393" spans="1:4" x14ac:dyDescent="0.25">
      <c r="A393" s="302"/>
      <c r="B393" s="302"/>
      <c r="C393" s="302"/>
      <c r="D393" s="328"/>
    </row>
    <row r="394" spans="1:4" x14ac:dyDescent="0.25">
      <c r="A394" s="302"/>
      <c r="B394" s="302"/>
      <c r="C394" s="302"/>
      <c r="D394" s="328"/>
    </row>
    <row r="395" spans="1:4" x14ac:dyDescent="0.25">
      <c r="A395" s="302"/>
      <c r="B395" s="302"/>
      <c r="C395" s="302"/>
      <c r="D395" s="328"/>
    </row>
    <row r="396" spans="1:4" x14ac:dyDescent="0.25">
      <c r="A396" s="302"/>
      <c r="B396" s="302"/>
      <c r="C396" s="302"/>
      <c r="D396" s="328"/>
    </row>
    <row r="397" spans="1:4" x14ac:dyDescent="0.25">
      <c r="A397" s="302"/>
      <c r="B397" s="302"/>
      <c r="C397" s="302"/>
      <c r="D397" s="328"/>
    </row>
    <row r="398" spans="1:4" x14ac:dyDescent="0.25">
      <c r="A398" s="302"/>
      <c r="B398" s="302"/>
      <c r="C398" s="302"/>
      <c r="D398" s="328"/>
    </row>
    <row r="399" spans="1:4" x14ac:dyDescent="0.25">
      <c r="A399" s="302"/>
      <c r="B399" s="302"/>
      <c r="C399" s="302"/>
      <c r="D399" s="328"/>
    </row>
    <row r="400" spans="1:4" x14ac:dyDescent="0.25">
      <c r="A400" s="302"/>
      <c r="B400" s="302"/>
      <c r="C400" s="302"/>
      <c r="D400" s="328"/>
    </row>
    <row r="401" spans="1:4" x14ac:dyDescent="0.25">
      <c r="A401" s="302"/>
      <c r="B401" s="302"/>
      <c r="C401" s="302"/>
      <c r="D401" s="328"/>
    </row>
    <row r="402" spans="1:4" x14ac:dyDescent="0.25">
      <c r="A402" s="302"/>
      <c r="B402" s="302"/>
      <c r="C402" s="302"/>
      <c r="D402" s="328"/>
    </row>
    <row r="403" spans="1:4" x14ac:dyDescent="0.25">
      <c r="A403" s="302"/>
      <c r="B403" s="302"/>
      <c r="C403" s="302"/>
      <c r="D403" s="328"/>
    </row>
    <row r="404" spans="1:4" x14ac:dyDescent="0.25">
      <c r="A404" s="302"/>
      <c r="B404" s="302"/>
      <c r="C404" s="302"/>
      <c r="D404" s="328"/>
    </row>
    <row r="405" spans="1:4" x14ac:dyDescent="0.25">
      <c r="A405" s="302"/>
      <c r="B405" s="302"/>
      <c r="C405" s="302"/>
      <c r="D405" s="328"/>
    </row>
    <row r="406" spans="1:4" x14ac:dyDescent="0.25">
      <c r="A406" s="302"/>
      <c r="B406" s="302"/>
      <c r="C406" s="302"/>
      <c r="D406" s="328"/>
    </row>
    <row r="407" spans="1:4" x14ac:dyDescent="0.25">
      <c r="A407" s="302"/>
      <c r="B407" s="302"/>
      <c r="C407" s="302"/>
      <c r="D407" s="328"/>
    </row>
    <row r="408" spans="1:4" x14ac:dyDescent="0.25">
      <c r="A408" s="302"/>
      <c r="B408" s="302"/>
      <c r="C408" s="302"/>
      <c r="D408" s="328"/>
    </row>
    <row r="409" spans="1:4" x14ac:dyDescent="0.25">
      <c r="A409" s="302"/>
      <c r="B409" s="302"/>
      <c r="C409" s="302"/>
      <c r="D409" s="328"/>
    </row>
    <row r="410" spans="1:4" x14ac:dyDescent="0.25">
      <c r="A410" s="302"/>
      <c r="B410" s="302"/>
      <c r="C410" s="302"/>
      <c r="D410" s="328"/>
    </row>
    <row r="411" spans="1:4" x14ac:dyDescent="0.25">
      <c r="A411" s="302"/>
      <c r="B411" s="302"/>
      <c r="C411" s="302"/>
      <c r="D411" s="328"/>
    </row>
    <row r="412" spans="1:4" x14ac:dyDescent="0.25">
      <c r="A412" s="302"/>
      <c r="B412" s="302"/>
      <c r="C412" s="302"/>
      <c r="D412" s="328"/>
    </row>
    <row r="413" spans="1:4" x14ac:dyDescent="0.25">
      <c r="A413" s="302"/>
      <c r="B413" s="302"/>
      <c r="C413" s="302"/>
      <c r="D413" s="328"/>
    </row>
    <row r="414" spans="1:4" x14ac:dyDescent="0.25">
      <c r="A414" s="302"/>
      <c r="B414" s="302"/>
      <c r="C414" s="302"/>
      <c r="D414" s="328"/>
    </row>
    <row r="415" spans="1:4" x14ac:dyDescent="0.25">
      <c r="A415" s="302"/>
      <c r="B415" s="302"/>
      <c r="C415" s="302"/>
      <c r="D415" s="328"/>
    </row>
    <row r="416" spans="1:4" x14ac:dyDescent="0.25">
      <c r="A416" s="302"/>
      <c r="B416" s="302"/>
      <c r="C416" s="302"/>
      <c r="D416" s="328"/>
    </row>
    <row r="417" spans="1:4" x14ac:dyDescent="0.25">
      <c r="A417" s="302"/>
      <c r="B417" s="302"/>
      <c r="C417" s="302"/>
      <c r="D417" s="328"/>
    </row>
    <row r="418" spans="1:4" x14ac:dyDescent="0.25">
      <c r="A418" s="302"/>
      <c r="B418" s="302"/>
      <c r="C418" s="302"/>
      <c r="D418" s="328"/>
    </row>
    <row r="419" spans="1:4" x14ac:dyDescent="0.25">
      <c r="A419" s="302"/>
      <c r="B419" s="302"/>
      <c r="C419" s="302"/>
      <c r="D419" s="328"/>
    </row>
    <row r="420" spans="1:4" x14ac:dyDescent="0.25">
      <c r="A420" s="302"/>
      <c r="B420" s="302"/>
      <c r="C420" s="302"/>
      <c r="D420" s="328"/>
    </row>
    <row r="421" spans="1:4" x14ac:dyDescent="0.25">
      <c r="A421" s="302"/>
      <c r="B421" s="302"/>
      <c r="C421" s="302"/>
      <c r="D421" s="328"/>
    </row>
    <row r="422" spans="1:4" x14ac:dyDescent="0.25">
      <c r="A422" s="302"/>
      <c r="B422" s="302"/>
      <c r="C422" s="302"/>
      <c r="D422" s="328"/>
    </row>
    <row r="423" spans="1:4" x14ac:dyDescent="0.25">
      <c r="A423" s="302"/>
      <c r="B423" s="302"/>
      <c r="C423" s="302"/>
      <c r="D423" s="328"/>
    </row>
    <row r="424" spans="1:4" x14ac:dyDescent="0.25">
      <c r="A424" s="302"/>
      <c r="B424" s="302"/>
      <c r="C424" s="302"/>
      <c r="D424" s="328"/>
    </row>
    <row r="425" spans="1:4" x14ac:dyDescent="0.25">
      <c r="A425" s="302"/>
      <c r="B425" s="302"/>
      <c r="C425" s="302"/>
      <c r="D425" s="328"/>
    </row>
    <row r="426" spans="1:4" x14ac:dyDescent="0.25">
      <c r="A426" s="302"/>
      <c r="B426" s="302"/>
      <c r="C426" s="302"/>
      <c r="D426" s="328"/>
    </row>
    <row r="427" spans="1:4" x14ac:dyDescent="0.25">
      <c r="A427" s="302"/>
      <c r="B427" s="302"/>
      <c r="C427" s="302"/>
      <c r="D427" s="328"/>
    </row>
    <row r="428" spans="1:4" x14ac:dyDescent="0.25">
      <c r="A428" s="302"/>
      <c r="B428" s="302"/>
      <c r="C428" s="302"/>
      <c r="D428" s="328"/>
    </row>
    <row r="429" spans="1:4" x14ac:dyDescent="0.25">
      <c r="A429" s="302"/>
      <c r="B429" s="302"/>
      <c r="C429" s="302"/>
      <c r="D429" s="328"/>
    </row>
    <row r="430" spans="1:4" x14ac:dyDescent="0.25">
      <c r="A430" s="302"/>
      <c r="B430" s="302"/>
      <c r="C430" s="302"/>
      <c r="D430" s="328"/>
    </row>
    <row r="431" spans="1:4" x14ac:dyDescent="0.25">
      <c r="A431" s="302"/>
      <c r="B431" s="302"/>
      <c r="C431" s="302"/>
      <c r="D431" s="328"/>
    </row>
    <row r="432" spans="1:4" x14ac:dyDescent="0.25">
      <c r="A432" s="302"/>
      <c r="B432" s="302"/>
      <c r="C432" s="302"/>
      <c r="D432" s="328"/>
    </row>
    <row r="433" spans="1:4" x14ac:dyDescent="0.25">
      <c r="A433" s="302"/>
      <c r="B433" s="302"/>
      <c r="C433" s="302"/>
      <c r="D433" s="328"/>
    </row>
    <row r="434" spans="1:4" x14ac:dyDescent="0.25">
      <c r="A434" s="302"/>
      <c r="B434" s="302"/>
      <c r="C434" s="302"/>
      <c r="D434" s="328"/>
    </row>
    <row r="435" spans="1:4" x14ac:dyDescent="0.25">
      <c r="A435" s="302"/>
      <c r="B435" s="302"/>
      <c r="C435" s="302"/>
      <c r="D435" s="328"/>
    </row>
    <row r="436" spans="1:4" x14ac:dyDescent="0.25">
      <c r="A436" s="302"/>
      <c r="B436" s="302"/>
      <c r="C436" s="302"/>
      <c r="D436" s="328"/>
    </row>
    <row r="437" spans="1:4" x14ac:dyDescent="0.25">
      <c r="A437" s="302"/>
      <c r="B437" s="302"/>
      <c r="C437" s="302"/>
      <c r="D437" s="328"/>
    </row>
    <row r="438" spans="1:4" x14ac:dyDescent="0.25">
      <c r="A438" s="302"/>
      <c r="B438" s="302"/>
      <c r="C438" s="302"/>
      <c r="D438" s="328"/>
    </row>
    <row r="439" spans="1:4" x14ac:dyDescent="0.25">
      <c r="A439" s="302"/>
      <c r="B439" s="302"/>
      <c r="C439" s="302"/>
      <c r="D439" s="328"/>
    </row>
    <row r="440" spans="1:4" x14ac:dyDescent="0.25">
      <c r="A440" s="302"/>
      <c r="B440" s="302"/>
      <c r="C440" s="302"/>
      <c r="D440" s="328"/>
    </row>
    <row r="441" spans="1:4" x14ac:dyDescent="0.25">
      <c r="A441" s="302"/>
      <c r="B441" s="302"/>
      <c r="C441" s="302"/>
      <c r="D441" s="328"/>
    </row>
    <row r="442" spans="1:4" x14ac:dyDescent="0.25">
      <c r="A442" s="302"/>
      <c r="B442" s="302"/>
      <c r="C442" s="302"/>
      <c r="D442" s="328"/>
    </row>
    <row r="443" spans="1:4" x14ac:dyDescent="0.25">
      <c r="A443" s="302"/>
      <c r="B443" s="302"/>
      <c r="C443" s="302"/>
      <c r="D443" s="328"/>
    </row>
    <row r="444" spans="1:4" x14ac:dyDescent="0.25">
      <c r="A444" s="302"/>
      <c r="B444" s="302"/>
      <c r="C444" s="302"/>
      <c r="D444" s="328"/>
    </row>
    <row r="445" spans="1:4" x14ac:dyDescent="0.25">
      <c r="A445" s="302"/>
      <c r="B445" s="302"/>
      <c r="C445" s="302"/>
      <c r="D445" s="328"/>
    </row>
    <row r="446" spans="1:4" x14ac:dyDescent="0.25">
      <c r="A446" s="302"/>
      <c r="B446" s="302"/>
      <c r="C446" s="302"/>
      <c r="D446" s="328"/>
    </row>
    <row r="447" spans="1:4" x14ac:dyDescent="0.25">
      <c r="A447" s="302"/>
      <c r="B447" s="302"/>
      <c r="C447" s="302"/>
      <c r="D447" s="328"/>
    </row>
    <row r="448" spans="1:4" x14ac:dyDescent="0.25">
      <c r="A448" s="302"/>
      <c r="B448" s="302"/>
      <c r="C448" s="302"/>
      <c r="D448" s="328"/>
    </row>
    <row r="449" spans="1:4" x14ac:dyDescent="0.25">
      <c r="A449" s="302"/>
      <c r="B449" s="302"/>
      <c r="C449" s="302"/>
      <c r="D449" s="328"/>
    </row>
    <row r="450" spans="1:4" x14ac:dyDescent="0.25">
      <c r="A450" s="302"/>
      <c r="B450" s="302"/>
      <c r="C450" s="302"/>
      <c r="D450" s="328"/>
    </row>
    <row r="451" spans="1:4" x14ac:dyDescent="0.25">
      <c r="A451" s="302"/>
      <c r="B451" s="302"/>
      <c r="C451" s="302"/>
      <c r="D451" s="328"/>
    </row>
    <row r="452" spans="1:4" x14ac:dyDescent="0.25">
      <c r="A452" s="302"/>
      <c r="B452" s="302"/>
      <c r="C452" s="302"/>
      <c r="D452" s="328"/>
    </row>
    <row r="453" spans="1:4" x14ac:dyDescent="0.25">
      <c r="A453" s="302"/>
      <c r="B453" s="302"/>
      <c r="C453" s="302"/>
      <c r="D453" s="328"/>
    </row>
    <row r="454" spans="1:4" x14ac:dyDescent="0.25">
      <c r="A454" s="302"/>
      <c r="B454" s="302"/>
      <c r="C454" s="302"/>
      <c r="D454" s="328"/>
    </row>
    <row r="455" spans="1:4" x14ac:dyDescent="0.25">
      <c r="A455" s="302"/>
      <c r="B455" s="302"/>
      <c r="C455" s="302"/>
      <c r="D455" s="328"/>
    </row>
    <row r="456" spans="1:4" x14ac:dyDescent="0.25">
      <c r="A456" s="302"/>
      <c r="B456" s="302"/>
      <c r="C456" s="302"/>
      <c r="D456" s="328"/>
    </row>
    <row r="457" spans="1:4" x14ac:dyDescent="0.25">
      <c r="A457" s="302"/>
      <c r="B457" s="302"/>
      <c r="C457" s="302"/>
      <c r="D457" s="328"/>
    </row>
    <row r="458" spans="1:4" x14ac:dyDescent="0.25">
      <c r="A458" s="302"/>
      <c r="B458" s="302"/>
      <c r="C458" s="302"/>
      <c r="D458" s="328"/>
    </row>
    <row r="459" spans="1:4" x14ac:dyDescent="0.25">
      <c r="A459" s="302"/>
      <c r="B459" s="302"/>
      <c r="C459" s="302"/>
      <c r="D459" s="328"/>
    </row>
    <row r="460" spans="1:4" x14ac:dyDescent="0.25">
      <c r="A460" s="302"/>
      <c r="B460" s="302"/>
      <c r="C460" s="302"/>
      <c r="D460" s="328"/>
    </row>
    <row r="461" spans="1:4" x14ac:dyDescent="0.25">
      <c r="A461" s="302"/>
      <c r="B461" s="302"/>
      <c r="C461" s="302"/>
      <c r="D461" s="328"/>
    </row>
    <row r="462" spans="1:4" x14ac:dyDescent="0.25">
      <c r="A462" s="302"/>
      <c r="B462" s="302"/>
      <c r="C462" s="302"/>
      <c r="D462" s="328"/>
    </row>
    <row r="463" spans="1:4" x14ac:dyDescent="0.25">
      <c r="A463" s="302"/>
      <c r="B463" s="302"/>
      <c r="C463" s="302"/>
      <c r="D463" s="328"/>
    </row>
    <row r="464" spans="1:4" x14ac:dyDescent="0.25">
      <c r="A464" s="302"/>
      <c r="B464" s="302"/>
      <c r="C464" s="302"/>
      <c r="D464" s="328"/>
    </row>
    <row r="465" spans="1:4" x14ac:dyDescent="0.25">
      <c r="A465" s="302"/>
      <c r="B465" s="302"/>
      <c r="C465" s="302"/>
      <c r="D465" s="328"/>
    </row>
    <row r="466" spans="1:4" x14ac:dyDescent="0.25">
      <c r="A466" s="302"/>
      <c r="B466" s="302"/>
      <c r="C466" s="302"/>
      <c r="D466" s="328"/>
    </row>
  </sheetData>
  <mergeCells count="3">
    <mergeCell ref="A1:K1"/>
    <mergeCell ref="A227:E227"/>
    <mergeCell ref="A2:O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3" fitToHeight="0" orientation="portrait" r:id="rId1"/>
  <rowBreaks count="1" manualBreakCount="1"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35"/>
  <sheetViews>
    <sheetView tabSelected="1" zoomScale="98" zoomScaleNormal="98" workbookViewId="0">
      <selection sqref="A1:V1"/>
    </sheetView>
  </sheetViews>
  <sheetFormatPr defaultRowHeight="15" x14ac:dyDescent="0.25"/>
  <cols>
    <col min="1" max="1" width="5.140625" style="128" customWidth="1"/>
    <col min="2" max="2" width="5" style="128" customWidth="1"/>
    <col min="3" max="3" width="6.42578125" style="128" customWidth="1"/>
    <col min="4" max="4" width="5.85546875" style="128" customWidth="1"/>
    <col min="5" max="5" width="38.140625" style="128" customWidth="1"/>
    <col min="6" max="6" width="12.5703125" style="128" hidden="1" customWidth="1"/>
    <col min="7" max="7" width="10" style="128" hidden="1" customWidth="1"/>
    <col min="8" max="8" width="12.5703125" style="460" customWidth="1"/>
    <col min="9" max="9" width="8.5703125" style="128" customWidth="1"/>
    <col min="10" max="10" width="13.28515625" style="128" customWidth="1"/>
    <col min="11" max="11" width="12.5703125" style="460" customWidth="1"/>
    <col min="12" max="12" width="9.140625" style="128" customWidth="1"/>
    <col min="13" max="13" width="9.7109375" style="128" customWidth="1"/>
    <col min="14" max="14" width="14.5703125" customWidth="1"/>
    <col min="15" max="15" width="11.28515625" customWidth="1"/>
    <col min="16" max="16" width="11.42578125" customWidth="1"/>
    <col min="17" max="17" width="7.85546875" customWidth="1"/>
    <col min="18" max="18" width="9" customWidth="1"/>
    <col min="19" max="19" width="12.5703125" customWidth="1"/>
    <col min="20" max="21" width="9.7109375" customWidth="1"/>
    <col min="22" max="22" width="12.85546875" style="128" hidden="1" customWidth="1"/>
    <col min="23" max="16384" width="9.140625" style="128"/>
  </cols>
  <sheetData>
    <row r="1" spans="1:22" ht="40.5" customHeight="1" x14ac:dyDescent="0.25">
      <c r="A1" s="635" t="s">
        <v>269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</row>
    <row r="2" spans="1:22" ht="16.5" customHeight="1" thickBot="1" x14ac:dyDescent="0.3">
      <c r="A2" s="465"/>
      <c r="B2" s="465"/>
      <c r="C2" s="465"/>
      <c r="D2" s="465"/>
      <c r="E2" s="465"/>
      <c r="F2" s="465"/>
      <c r="G2" s="465"/>
      <c r="H2" s="496"/>
      <c r="I2" s="465"/>
      <c r="J2" s="465"/>
      <c r="K2" s="496"/>
      <c r="L2" s="465"/>
      <c r="M2" s="465"/>
      <c r="N2" s="465"/>
      <c r="O2" s="465"/>
      <c r="P2" s="465"/>
      <c r="Q2" s="465"/>
      <c r="R2" s="465"/>
      <c r="S2" s="465"/>
      <c r="T2" s="293" t="s">
        <v>262</v>
      </c>
      <c r="U2" s="465"/>
      <c r="V2" s="465"/>
    </row>
    <row r="3" spans="1:22" ht="85.5" thickTop="1" thickBot="1" x14ac:dyDescent="0.3">
      <c r="A3" s="129" t="s">
        <v>15</v>
      </c>
      <c r="B3" s="130" t="s">
        <v>16</v>
      </c>
      <c r="C3" s="130" t="s">
        <v>17</v>
      </c>
      <c r="D3" s="130" t="s">
        <v>71</v>
      </c>
      <c r="E3" s="131" t="s">
        <v>72</v>
      </c>
      <c r="F3" s="132" t="s">
        <v>253</v>
      </c>
      <c r="G3" s="131" t="s">
        <v>183</v>
      </c>
      <c r="H3" s="447" t="s">
        <v>240</v>
      </c>
      <c r="I3" s="133" t="s">
        <v>183</v>
      </c>
      <c r="J3" s="133" t="s">
        <v>251</v>
      </c>
      <c r="K3" s="447" t="s">
        <v>255</v>
      </c>
      <c r="L3" s="133" t="s">
        <v>183</v>
      </c>
      <c r="M3" s="134" t="s">
        <v>244</v>
      </c>
      <c r="N3" s="516" t="s">
        <v>28</v>
      </c>
      <c r="O3" s="407" t="s">
        <v>194</v>
      </c>
      <c r="P3" s="407" t="s">
        <v>195</v>
      </c>
      <c r="Q3" s="407" t="s">
        <v>196</v>
      </c>
      <c r="R3" s="517" t="s">
        <v>197</v>
      </c>
      <c r="S3" s="570" t="s">
        <v>199</v>
      </c>
      <c r="T3" s="553" t="s">
        <v>198</v>
      </c>
      <c r="U3" s="518" t="s">
        <v>230</v>
      </c>
    </row>
    <row r="4" spans="1:22" ht="15.75" thickTop="1" x14ac:dyDescent="0.25">
      <c r="A4" s="135"/>
      <c r="B4" s="136"/>
      <c r="C4" s="136"/>
      <c r="D4" s="137"/>
      <c r="E4" s="512"/>
      <c r="F4" s="139"/>
      <c r="G4" s="138"/>
      <c r="H4" s="514"/>
      <c r="I4" s="513"/>
      <c r="J4" s="513"/>
      <c r="K4" s="514"/>
      <c r="L4" s="513"/>
      <c r="M4" s="146"/>
      <c r="N4" s="515"/>
      <c r="O4" s="519"/>
      <c r="P4" s="519"/>
      <c r="Q4" s="519"/>
      <c r="R4" s="519"/>
      <c r="S4" s="571"/>
      <c r="T4" s="554"/>
      <c r="U4" s="519"/>
      <c r="V4" s="520"/>
    </row>
    <row r="5" spans="1:22" x14ac:dyDescent="0.25">
      <c r="A5" s="140">
        <v>3</v>
      </c>
      <c r="B5" s="141"/>
      <c r="C5" s="141"/>
      <c r="D5" s="142"/>
      <c r="E5" s="143" t="s">
        <v>73</v>
      </c>
      <c r="F5" s="144">
        <f>SUM(F6+F17+F50+F58+F61+F64)</f>
        <v>7636958.8700000001</v>
      </c>
      <c r="G5" s="145">
        <f>AVERAGE(F5/F5*100)</f>
        <v>100</v>
      </c>
      <c r="H5" s="448">
        <f>SUM(H6+H17+H50+H58+H61+H64)</f>
        <v>10591142</v>
      </c>
      <c r="I5" s="145">
        <f>AVERAGE(H5/H5*100)</f>
        <v>100</v>
      </c>
      <c r="J5" s="579">
        <f>K5-H5</f>
        <v>1980306</v>
      </c>
      <c r="K5" s="448">
        <f>SUM(K6+K17+K50+K58+K61+K64)</f>
        <v>12571448</v>
      </c>
      <c r="L5" s="145">
        <f>AVERAGE(K5/K5*100)</f>
        <v>100</v>
      </c>
      <c r="M5" s="146">
        <f t="shared" ref="M5:M36" si="0">AVERAGE(K5/H5)*100</f>
        <v>118.69775705018401</v>
      </c>
      <c r="N5" s="433">
        <f t="shared" ref="N5:U5" si="1">SUM(N6+N17+N50+N58+N61+N64)</f>
        <v>750000</v>
      </c>
      <c r="O5" s="408">
        <f t="shared" si="1"/>
        <v>7149785</v>
      </c>
      <c r="P5" s="408">
        <f t="shared" si="1"/>
        <v>4209550</v>
      </c>
      <c r="Q5" s="408">
        <f t="shared" si="1"/>
        <v>695</v>
      </c>
      <c r="R5" s="408">
        <f t="shared" si="1"/>
        <v>17900</v>
      </c>
      <c r="S5" s="409">
        <f t="shared" si="1"/>
        <v>359638</v>
      </c>
      <c r="T5" s="555">
        <f t="shared" ref="T5" si="2">SUM(T6+T17+T50+T58+T61+T64)</f>
        <v>83880</v>
      </c>
      <c r="U5" s="408">
        <f t="shared" si="1"/>
        <v>0</v>
      </c>
      <c r="V5" s="521">
        <f t="shared" ref="V5:V36" si="3">K5-SUM(N5:U5)</f>
        <v>0</v>
      </c>
    </row>
    <row r="6" spans="1:22" x14ac:dyDescent="0.25">
      <c r="A6" s="147"/>
      <c r="B6" s="148">
        <v>31</v>
      </c>
      <c r="C6" s="148"/>
      <c r="D6" s="149"/>
      <c r="E6" s="150" t="s">
        <v>74</v>
      </c>
      <c r="F6" s="151">
        <f>SUM(F7+F11+F13)</f>
        <v>4522537.87</v>
      </c>
      <c r="G6" s="145">
        <f>AVERAGE(F6/F5*100)</f>
        <v>59.219094236132761</v>
      </c>
      <c r="H6" s="449">
        <f>SUM(H7+H11+H13)</f>
        <v>5310000</v>
      </c>
      <c r="I6" s="145">
        <f>AVERAGE(H6/H5*100)</f>
        <v>50.136236488945194</v>
      </c>
      <c r="J6" s="579">
        <f t="shared" ref="J6:J69" si="4">K6-H6</f>
        <v>2035000</v>
      </c>
      <c r="K6" s="449">
        <f>SUM(K7+K11+K13)</f>
        <v>7345000</v>
      </c>
      <c r="L6" s="145">
        <f>AVERAGE(K6/K5*100)</f>
        <v>58.426046068837891</v>
      </c>
      <c r="M6" s="146">
        <f t="shared" si="0"/>
        <v>138.32391713747646</v>
      </c>
      <c r="N6" s="434">
        <f>SUM(N7+N11+N13)</f>
        <v>750000</v>
      </c>
      <c r="O6" s="151">
        <f t="shared" ref="O6:U6" si="5">SUM(O7+O11+O13)</f>
        <v>3505000</v>
      </c>
      <c r="P6" s="151">
        <f t="shared" si="5"/>
        <v>3075600</v>
      </c>
      <c r="Q6" s="151">
        <f t="shared" si="5"/>
        <v>0</v>
      </c>
      <c r="R6" s="151">
        <f t="shared" si="5"/>
        <v>0</v>
      </c>
      <c r="S6" s="341">
        <f t="shared" si="5"/>
        <v>14400</v>
      </c>
      <c r="T6" s="556">
        <f t="shared" ref="T6" si="6">SUM(T7+T11+T13)</f>
        <v>0</v>
      </c>
      <c r="U6" s="341">
        <f t="shared" si="5"/>
        <v>0</v>
      </c>
      <c r="V6" s="444">
        <f t="shared" si="3"/>
        <v>0</v>
      </c>
    </row>
    <row r="7" spans="1:22" x14ac:dyDescent="0.25">
      <c r="A7" s="152"/>
      <c r="B7" s="153"/>
      <c r="C7" s="154">
        <v>311</v>
      </c>
      <c r="D7" s="155"/>
      <c r="E7" s="156" t="s">
        <v>75</v>
      </c>
      <c r="F7" s="157">
        <f>SUM(F8:F10)</f>
        <v>3564497.43</v>
      </c>
      <c r="G7" s="158">
        <f>AVERAGE(F7/F5*100)</f>
        <v>46.674304401484882</v>
      </c>
      <c r="H7" s="162">
        <f>SUM(H8:H10)</f>
        <v>4210000</v>
      </c>
      <c r="I7" s="158">
        <f>AVERAGE(H7/H5*100)</f>
        <v>39.75019879820325</v>
      </c>
      <c r="J7" s="578">
        <f t="shared" si="4"/>
        <v>1455000</v>
      </c>
      <c r="K7" s="162">
        <f>SUM(K8:K10)</f>
        <v>5665000</v>
      </c>
      <c r="L7" s="158">
        <f>AVERAGE(K7/K5*100)</f>
        <v>45.062430358062173</v>
      </c>
      <c r="M7" s="159">
        <f t="shared" si="0"/>
        <v>134.56057007125889</v>
      </c>
      <c r="N7" s="587">
        <f>SUM(N8:N10)</f>
        <v>750000</v>
      </c>
      <c r="O7" s="157">
        <f t="shared" ref="O7:U7" si="7">SUM(O8:O10)</f>
        <v>2645000</v>
      </c>
      <c r="P7" s="157">
        <f t="shared" si="7"/>
        <v>2255600</v>
      </c>
      <c r="Q7" s="157">
        <f t="shared" si="7"/>
        <v>0</v>
      </c>
      <c r="R7" s="157">
        <f t="shared" si="7"/>
        <v>0</v>
      </c>
      <c r="S7" s="353">
        <f t="shared" si="7"/>
        <v>14400</v>
      </c>
      <c r="T7" s="588">
        <f t="shared" ref="T7" si="8">SUM(T8:T10)</f>
        <v>0</v>
      </c>
      <c r="U7" s="353">
        <f t="shared" si="7"/>
        <v>0</v>
      </c>
      <c r="V7" s="444">
        <f t="shared" si="3"/>
        <v>0</v>
      </c>
    </row>
    <row r="8" spans="1:22" x14ac:dyDescent="0.25">
      <c r="A8" s="152"/>
      <c r="B8" s="160"/>
      <c r="C8" s="153"/>
      <c r="D8" s="155">
        <v>3111</v>
      </c>
      <c r="E8" s="161" t="s">
        <v>76</v>
      </c>
      <c r="F8" s="162">
        <v>3485969.91</v>
      </c>
      <c r="G8" s="158">
        <f>AVERAGE(F8/F5*100)</f>
        <v>45.646047979828914</v>
      </c>
      <c r="H8" s="162">
        <f>4250000-120000</f>
        <v>4130000</v>
      </c>
      <c r="I8" s="158">
        <f>AVERAGE(H8/H5*100)</f>
        <v>38.994850602512933</v>
      </c>
      <c r="J8" s="578">
        <f t="shared" si="4"/>
        <v>1415000</v>
      </c>
      <c r="K8" s="162">
        <v>5545000</v>
      </c>
      <c r="L8" s="158">
        <f>AVERAGE(K8/K5*100)</f>
        <v>44.107886378721048</v>
      </c>
      <c r="M8" s="159">
        <f t="shared" si="0"/>
        <v>134.26150121065373</v>
      </c>
      <c r="N8" s="589">
        <v>750000</v>
      </c>
      <c r="O8" s="411">
        <f>2280000+100000+200000</f>
        <v>2580000</v>
      </c>
      <c r="P8" s="411">
        <f>2035600+465000-100000-200000</f>
        <v>2200600</v>
      </c>
      <c r="Q8" s="412"/>
      <c r="R8" s="412"/>
      <c r="S8" s="549">
        <v>14400</v>
      </c>
      <c r="T8" s="590"/>
      <c r="U8" s="413"/>
      <c r="V8" s="444">
        <f t="shared" si="3"/>
        <v>0</v>
      </c>
    </row>
    <row r="9" spans="1:22" x14ac:dyDescent="0.25">
      <c r="A9" s="152"/>
      <c r="B9" s="160"/>
      <c r="C9" s="160"/>
      <c r="D9" s="155">
        <v>3113</v>
      </c>
      <c r="E9" s="161" t="s">
        <v>77</v>
      </c>
      <c r="F9" s="162">
        <v>78527.520000000004</v>
      </c>
      <c r="G9" s="158">
        <f>AVERAGE(F9/F5*100)</f>
        <v>1.0282564216559673</v>
      </c>
      <c r="H9" s="162">
        <v>80000</v>
      </c>
      <c r="I9" s="158">
        <f>AVERAGE(H9/H5*100)</f>
        <v>0.75534819569032308</v>
      </c>
      <c r="J9" s="578">
        <f t="shared" si="4"/>
        <v>40000</v>
      </c>
      <c r="K9" s="162">
        <v>120000</v>
      </c>
      <c r="L9" s="158">
        <f>AVERAGE(K9/K5*100)</f>
        <v>0.95454397934112278</v>
      </c>
      <c r="M9" s="159">
        <f t="shared" si="0"/>
        <v>150</v>
      </c>
      <c r="N9" s="589"/>
      <c r="O9" s="411">
        <f>55000+10000</f>
        <v>65000</v>
      </c>
      <c r="P9" s="411">
        <f>65000-10000</f>
        <v>55000</v>
      </c>
      <c r="Q9" s="412"/>
      <c r="R9" s="412"/>
      <c r="S9" s="549"/>
      <c r="T9" s="590"/>
      <c r="U9" s="413"/>
      <c r="V9" s="444">
        <f t="shared" si="3"/>
        <v>0</v>
      </c>
    </row>
    <row r="10" spans="1:22" hidden="1" x14ac:dyDescent="0.25">
      <c r="A10" s="152"/>
      <c r="B10" s="160"/>
      <c r="C10" s="163"/>
      <c r="D10" s="155">
        <v>3114</v>
      </c>
      <c r="E10" s="161" t="s">
        <v>78</v>
      </c>
      <c r="F10" s="162"/>
      <c r="G10" s="158">
        <f>AVERAGE(F10/F5*100)</f>
        <v>0</v>
      </c>
      <c r="H10" s="162"/>
      <c r="I10" s="158">
        <f>AVERAGE(H10/H5*100)</f>
        <v>0</v>
      </c>
      <c r="J10" s="578">
        <f t="shared" si="4"/>
        <v>0</v>
      </c>
      <c r="K10" s="162"/>
      <c r="L10" s="158">
        <f>AVERAGE(K10/K5*100)</f>
        <v>0</v>
      </c>
      <c r="M10" s="159" t="e">
        <f t="shared" si="0"/>
        <v>#DIV/0!</v>
      </c>
      <c r="N10" s="589"/>
      <c r="O10" s="411">
        <f>0.52*K10</f>
        <v>0</v>
      </c>
      <c r="P10" s="412"/>
      <c r="Q10" s="412"/>
      <c r="R10" s="412"/>
      <c r="S10" s="549"/>
      <c r="T10" s="590"/>
      <c r="U10" s="413"/>
      <c r="V10" s="444">
        <f t="shared" si="3"/>
        <v>0</v>
      </c>
    </row>
    <row r="11" spans="1:22" x14ac:dyDescent="0.25">
      <c r="A11" s="152"/>
      <c r="B11" s="160"/>
      <c r="C11" s="154">
        <v>312</v>
      </c>
      <c r="D11" s="155"/>
      <c r="E11" s="161" t="s">
        <v>79</v>
      </c>
      <c r="F11" s="157">
        <f>SUM(F12)</f>
        <v>376796.75</v>
      </c>
      <c r="G11" s="158">
        <f>AVERAGE(F11/F5*100)</f>
        <v>4.9338585739954368</v>
      </c>
      <c r="H11" s="162">
        <f>SUM(H12)</f>
        <v>425000</v>
      </c>
      <c r="I11" s="158">
        <f>AVERAGE(H11/H5*100)</f>
        <v>4.0127872896048418</v>
      </c>
      <c r="J11" s="578">
        <f t="shared" si="4"/>
        <v>275000</v>
      </c>
      <c r="K11" s="162">
        <f>SUM(K12)</f>
        <v>700000</v>
      </c>
      <c r="L11" s="158">
        <f>AVERAGE(K11/K5*100)</f>
        <v>5.5681732128232166</v>
      </c>
      <c r="M11" s="159">
        <f t="shared" si="0"/>
        <v>164.70588235294116</v>
      </c>
      <c r="N11" s="591">
        <f>SUM(N12)</f>
        <v>0</v>
      </c>
      <c r="O11" s="411">
        <f t="shared" ref="O11:U11" si="9">SUM(O12)</f>
        <v>380000</v>
      </c>
      <c r="P11" s="411">
        <f>SUM(P12)</f>
        <v>320000</v>
      </c>
      <c r="Q11" s="411">
        <f t="shared" si="9"/>
        <v>0</v>
      </c>
      <c r="R11" s="411">
        <f t="shared" si="9"/>
        <v>0</v>
      </c>
      <c r="S11" s="592">
        <f t="shared" si="9"/>
        <v>0</v>
      </c>
      <c r="T11" s="593">
        <f t="shared" si="9"/>
        <v>0</v>
      </c>
      <c r="U11" s="415">
        <f t="shared" si="9"/>
        <v>0</v>
      </c>
      <c r="V11" s="444">
        <f t="shared" si="3"/>
        <v>0</v>
      </c>
    </row>
    <row r="12" spans="1:22" x14ac:dyDescent="0.25">
      <c r="A12" s="152"/>
      <c r="B12" s="160"/>
      <c r="C12" s="154"/>
      <c r="D12" s="155">
        <v>3121</v>
      </c>
      <c r="E12" s="161" t="s">
        <v>79</v>
      </c>
      <c r="F12" s="162">
        <v>376796.75</v>
      </c>
      <c r="G12" s="158">
        <f>AVERAGE(F12/F5*100)</f>
        <v>4.9338585739954368</v>
      </c>
      <c r="H12" s="162">
        <v>425000</v>
      </c>
      <c r="I12" s="158">
        <f>AVERAGE(H12/H5*100)</f>
        <v>4.0127872896048418</v>
      </c>
      <c r="J12" s="578">
        <f t="shared" si="4"/>
        <v>275000</v>
      </c>
      <c r="K12" s="162">
        <v>700000</v>
      </c>
      <c r="L12" s="158">
        <f>AVERAGE(K12/K5*100)</f>
        <v>5.5681732128232166</v>
      </c>
      <c r="M12" s="159">
        <f t="shared" si="0"/>
        <v>164.70588235294116</v>
      </c>
      <c r="N12" s="589"/>
      <c r="O12" s="411">
        <f>350000+30000</f>
        <v>380000</v>
      </c>
      <c r="P12" s="412">
        <f>350000-30000</f>
        <v>320000</v>
      </c>
      <c r="Q12" s="412"/>
      <c r="R12" s="412"/>
      <c r="S12" s="549"/>
      <c r="T12" s="590"/>
      <c r="U12" s="413"/>
      <c r="V12" s="444">
        <f t="shared" si="3"/>
        <v>0</v>
      </c>
    </row>
    <row r="13" spans="1:22" x14ac:dyDescent="0.25">
      <c r="A13" s="152"/>
      <c r="B13" s="160"/>
      <c r="C13" s="154">
        <v>313</v>
      </c>
      <c r="D13" s="155"/>
      <c r="E13" s="161" t="s">
        <v>80</v>
      </c>
      <c r="F13" s="164">
        <f>SUM(F14:F16)</f>
        <v>581243.68999999994</v>
      </c>
      <c r="G13" s="158">
        <f>AVERAGE(F13/F5*100)</f>
        <v>7.610931260652448</v>
      </c>
      <c r="H13" s="450">
        <f>SUM(H14:H16)</f>
        <v>675000</v>
      </c>
      <c r="I13" s="158">
        <f>AVERAGE(H13/H5*100)</f>
        <v>6.373250401137101</v>
      </c>
      <c r="J13" s="578">
        <f t="shared" si="4"/>
        <v>305000</v>
      </c>
      <c r="K13" s="450">
        <f>SUM(K14:K16)</f>
        <v>980000</v>
      </c>
      <c r="L13" s="158">
        <f>AVERAGE(K13/K5*100)</f>
        <v>7.7954424979525028</v>
      </c>
      <c r="M13" s="159">
        <f t="shared" si="0"/>
        <v>145.18518518518519</v>
      </c>
      <c r="N13" s="591">
        <f>SUM(N14:N16)</f>
        <v>0</v>
      </c>
      <c r="O13" s="411">
        <f t="shared" ref="O13:U13" si="10">SUM(O14:O16)</f>
        <v>480000</v>
      </c>
      <c r="P13" s="411">
        <f t="shared" si="10"/>
        <v>500000</v>
      </c>
      <c r="Q13" s="411">
        <f t="shared" si="10"/>
        <v>0</v>
      </c>
      <c r="R13" s="411">
        <f t="shared" si="10"/>
        <v>0</v>
      </c>
      <c r="S13" s="592">
        <f t="shared" si="10"/>
        <v>0</v>
      </c>
      <c r="T13" s="593">
        <f t="shared" ref="T13" si="11">SUM(T14:T16)</f>
        <v>0</v>
      </c>
      <c r="U13" s="415">
        <f t="shared" si="10"/>
        <v>0</v>
      </c>
      <c r="V13" s="444">
        <f t="shared" si="3"/>
        <v>0</v>
      </c>
    </row>
    <row r="14" spans="1:22" x14ac:dyDescent="0.25">
      <c r="A14" s="152"/>
      <c r="B14" s="160"/>
      <c r="C14" s="153"/>
      <c r="D14" s="155">
        <v>3131</v>
      </c>
      <c r="E14" s="161" t="s">
        <v>81</v>
      </c>
      <c r="F14" s="157">
        <v>32327.86</v>
      </c>
      <c r="G14" s="158">
        <f>AVERAGE(F14/F5*100)</f>
        <v>0.4233080281077905</v>
      </c>
      <c r="H14" s="162">
        <v>35000</v>
      </c>
      <c r="I14" s="158">
        <f>AVERAGE(H14/H5*100)</f>
        <v>0.33046483561451634</v>
      </c>
      <c r="J14" s="578">
        <f t="shared" si="4"/>
        <v>15000</v>
      </c>
      <c r="K14" s="162">
        <v>50000</v>
      </c>
      <c r="L14" s="158">
        <f>AVERAGE(K14/K5*100)</f>
        <v>0.3977266580588012</v>
      </c>
      <c r="M14" s="159">
        <f t="shared" si="0"/>
        <v>142.85714285714286</v>
      </c>
      <c r="N14" s="591"/>
      <c r="O14" s="411">
        <v>5000</v>
      </c>
      <c r="P14" s="411">
        <v>45000</v>
      </c>
      <c r="Q14" s="411"/>
      <c r="R14" s="411"/>
      <c r="S14" s="592"/>
      <c r="T14" s="593"/>
      <c r="U14" s="415"/>
      <c r="V14" s="444">
        <f t="shared" si="3"/>
        <v>0</v>
      </c>
    </row>
    <row r="15" spans="1:22" x14ac:dyDescent="0.25">
      <c r="A15" s="147"/>
      <c r="B15" s="160"/>
      <c r="C15" s="153"/>
      <c r="D15" s="155">
        <v>3132</v>
      </c>
      <c r="E15" s="161" t="s">
        <v>82</v>
      </c>
      <c r="F15" s="162">
        <v>548915.82999999996</v>
      </c>
      <c r="G15" s="158">
        <f>AVERAGE(F15/F5*100)</f>
        <v>7.1876232325446567</v>
      </c>
      <c r="H15" s="162">
        <v>640000</v>
      </c>
      <c r="I15" s="158">
        <f>AVERAGE(H15/H5*100)</f>
        <v>6.0427855655225846</v>
      </c>
      <c r="J15" s="578">
        <f t="shared" si="4"/>
        <v>290000</v>
      </c>
      <c r="K15" s="162">
        <v>930000</v>
      </c>
      <c r="L15" s="158">
        <f>AVERAGE(K15/K5*100)</f>
        <v>7.397715839893702</v>
      </c>
      <c r="M15" s="159">
        <f t="shared" si="0"/>
        <v>145.3125</v>
      </c>
      <c r="N15" s="594"/>
      <c r="O15" s="411">
        <f>445000+30000</f>
        <v>475000</v>
      </c>
      <c r="P15" s="411">
        <f>485000-30000</f>
        <v>455000</v>
      </c>
      <c r="Q15" s="417"/>
      <c r="R15" s="417"/>
      <c r="S15" s="595"/>
      <c r="T15" s="596"/>
      <c r="U15" s="418"/>
      <c r="V15" s="444">
        <f t="shared" si="3"/>
        <v>0</v>
      </c>
    </row>
    <row r="16" spans="1:22" hidden="1" x14ac:dyDescent="0.25">
      <c r="A16" s="147"/>
      <c r="B16" s="163"/>
      <c r="C16" s="163"/>
      <c r="D16" s="155">
        <v>3133</v>
      </c>
      <c r="E16" s="161" t="s">
        <v>83</v>
      </c>
      <c r="F16" s="162"/>
      <c r="G16" s="158">
        <f>AVERAGE(F16/F5*100)</f>
        <v>0</v>
      </c>
      <c r="H16" s="162"/>
      <c r="I16" s="158">
        <f>AVERAGE(H16/H5*100)</f>
        <v>0</v>
      </c>
      <c r="J16" s="578">
        <f t="shared" si="4"/>
        <v>0</v>
      </c>
      <c r="K16" s="162"/>
      <c r="L16" s="158">
        <f>AVERAGE(K16/K5*100)</f>
        <v>0</v>
      </c>
      <c r="M16" s="159" t="e">
        <f t="shared" si="0"/>
        <v>#DIV/0!</v>
      </c>
      <c r="N16" s="594"/>
      <c r="O16" s="411">
        <f>K16*57%</f>
        <v>0</v>
      </c>
      <c r="P16" s="411"/>
      <c r="Q16" s="417"/>
      <c r="R16" s="417"/>
      <c r="S16" s="595"/>
      <c r="T16" s="596"/>
      <c r="U16" s="418"/>
      <c r="V16" s="444">
        <f t="shared" si="3"/>
        <v>0</v>
      </c>
    </row>
    <row r="17" spans="1:22" x14ac:dyDescent="0.25">
      <c r="A17" s="147"/>
      <c r="B17" s="148">
        <v>32</v>
      </c>
      <c r="C17" s="154"/>
      <c r="D17" s="149"/>
      <c r="E17" s="165" t="s">
        <v>84</v>
      </c>
      <c r="F17" s="151">
        <f>SUM(F18+F23+F30+F40+F42)</f>
        <v>3095443.2100000004</v>
      </c>
      <c r="G17" s="145">
        <f>AVERAGE(F17/F5*100)</f>
        <v>40.53240645513651</v>
      </c>
      <c r="H17" s="449">
        <f>SUM(H18+H23+H30+H40+H42)</f>
        <v>5137842</v>
      </c>
      <c r="I17" s="145">
        <f>AVERAGE(H17/H5*100)</f>
        <v>48.510746055524514</v>
      </c>
      <c r="J17" s="579">
        <f t="shared" si="4"/>
        <v>-12394</v>
      </c>
      <c r="K17" s="449">
        <f>SUM(K18+K23+K30+K40+K42)</f>
        <v>5125448</v>
      </c>
      <c r="L17" s="145">
        <f>AVERAGE(K17/K5*100)</f>
        <v>40.770546081883332</v>
      </c>
      <c r="M17" s="146">
        <f t="shared" si="0"/>
        <v>99.758770316409112</v>
      </c>
      <c r="N17" s="597">
        <f t="shared" ref="N17:U17" si="12">SUM(N18+N23+N30+N40+N42)</f>
        <v>0</v>
      </c>
      <c r="O17" s="598">
        <f t="shared" si="12"/>
        <v>3643385</v>
      </c>
      <c r="P17" s="598">
        <f t="shared" si="12"/>
        <v>1034350</v>
      </c>
      <c r="Q17" s="598">
        <f t="shared" si="12"/>
        <v>695</v>
      </c>
      <c r="R17" s="598">
        <f t="shared" si="12"/>
        <v>17900</v>
      </c>
      <c r="S17" s="599">
        <f t="shared" si="12"/>
        <v>345238</v>
      </c>
      <c r="T17" s="600">
        <f t="shared" ref="T17" si="13">SUM(T18+T23+T30+T40+T42)</f>
        <v>83880</v>
      </c>
      <c r="U17" s="409">
        <f t="shared" si="12"/>
        <v>0</v>
      </c>
      <c r="V17" s="444">
        <f t="shared" si="3"/>
        <v>0</v>
      </c>
    </row>
    <row r="18" spans="1:22" x14ac:dyDescent="0.25">
      <c r="A18" s="152"/>
      <c r="B18" s="153"/>
      <c r="C18" s="154">
        <v>321</v>
      </c>
      <c r="D18" s="155"/>
      <c r="E18" s="166" t="s">
        <v>85</v>
      </c>
      <c r="F18" s="164">
        <f>SUM(F19:F22)</f>
        <v>160581.92000000001</v>
      </c>
      <c r="G18" s="158">
        <f>AVERAGE(F18/F5*100)</f>
        <v>2.1026945769055847</v>
      </c>
      <c r="H18" s="450">
        <f>SUM(H19:H22)</f>
        <v>225700</v>
      </c>
      <c r="I18" s="158">
        <f>AVERAGE(H18/H5*100)</f>
        <v>2.1310260970913242</v>
      </c>
      <c r="J18" s="578">
        <f t="shared" si="4"/>
        <v>19400</v>
      </c>
      <c r="K18" s="450">
        <f>SUM(K19:K22)</f>
        <v>245100</v>
      </c>
      <c r="L18" s="158">
        <f>AVERAGE(K18/K5*100)</f>
        <v>1.9496560778042435</v>
      </c>
      <c r="M18" s="159">
        <f t="shared" si="0"/>
        <v>108.59548072662825</v>
      </c>
      <c r="N18" s="591">
        <f>SUM(N19:N22)</f>
        <v>0</v>
      </c>
      <c r="O18" s="411">
        <f t="shared" ref="O18:U18" si="14">SUM(O19:O22)</f>
        <v>122050</v>
      </c>
      <c r="P18" s="411">
        <f t="shared" si="14"/>
        <v>119450</v>
      </c>
      <c r="Q18" s="411">
        <f t="shared" si="14"/>
        <v>0</v>
      </c>
      <c r="R18" s="411">
        <f t="shared" si="14"/>
        <v>0</v>
      </c>
      <c r="S18" s="592">
        <f t="shared" si="14"/>
        <v>3600</v>
      </c>
      <c r="T18" s="593">
        <f t="shared" ref="T18" si="15">SUM(T19:T22)</f>
        <v>0</v>
      </c>
      <c r="U18" s="415">
        <f t="shared" si="14"/>
        <v>0</v>
      </c>
      <c r="V18" s="444">
        <f t="shared" si="3"/>
        <v>0</v>
      </c>
    </row>
    <row r="19" spans="1:22" x14ac:dyDescent="0.25">
      <c r="A19" s="152"/>
      <c r="B19" s="160"/>
      <c r="C19" s="153"/>
      <c r="D19" s="155">
        <v>3211</v>
      </c>
      <c r="E19" s="166" t="s">
        <v>86</v>
      </c>
      <c r="F19" s="162">
        <v>25354.87</v>
      </c>
      <c r="G19" s="158">
        <f>AVERAGE(F19/F5*100)</f>
        <v>0.33200218086286482</v>
      </c>
      <c r="H19" s="162">
        <v>30000</v>
      </c>
      <c r="I19" s="158">
        <f>AVERAGE(H19/H5*100)</f>
        <v>0.28325557338387114</v>
      </c>
      <c r="J19" s="578">
        <f t="shared" si="4"/>
        <v>0</v>
      </c>
      <c r="K19" s="162">
        <v>30000</v>
      </c>
      <c r="L19" s="158">
        <f>AVERAGE(K19/K5*100)</f>
        <v>0.2386359948352807</v>
      </c>
      <c r="M19" s="159">
        <f t="shared" si="0"/>
        <v>100</v>
      </c>
      <c r="N19" s="589"/>
      <c r="O19" s="411">
        <v>10000</v>
      </c>
      <c r="P19" s="412">
        <v>17600</v>
      </c>
      <c r="Q19" s="412"/>
      <c r="R19" s="412"/>
      <c r="S19" s="549">
        <v>2400</v>
      </c>
      <c r="T19" s="590"/>
      <c r="U19" s="413"/>
      <c r="V19" s="444">
        <f t="shared" si="3"/>
        <v>0</v>
      </c>
    </row>
    <row r="20" spans="1:22" x14ac:dyDescent="0.25">
      <c r="A20" s="152"/>
      <c r="B20" s="160"/>
      <c r="C20" s="160"/>
      <c r="D20" s="155">
        <v>3212</v>
      </c>
      <c r="E20" s="166" t="s">
        <v>87</v>
      </c>
      <c r="F20" s="162">
        <v>116163.86</v>
      </c>
      <c r="G20" s="158">
        <f>AVERAGE(F20/F5*100)</f>
        <v>1.5210748411428854</v>
      </c>
      <c r="H20" s="162">
        <v>165000</v>
      </c>
      <c r="I20" s="158">
        <f>AVERAGE(H20/H5*100)</f>
        <v>1.5579056536112914</v>
      </c>
      <c r="J20" s="578">
        <f t="shared" si="4"/>
        <v>25000</v>
      </c>
      <c r="K20" s="162">
        <v>190000</v>
      </c>
      <c r="L20" s="158">
        <f>AVERAGE(K20/K5*100)</f>
        <v>1.5113613006234445</v>
      </c>
      <c r="M20" s="159">
        <f t="shared" si="0"/>
        <v>115.15151515151516</v>
      </c>
      <c r="N20" s="589"/>
      <c r="O20" s="411">
        <v>100000</v>
      </c>
      <c r="P20" s="412">
        <v>90000</v>
      </c>
      <c r="Q20" s="412"/>
      <c r="R20" s="412"/>
      <c r="S20" s="549"/>
      <c r="T20" s="590"/>
      <c r="U20" s="413"/>
      <c r="V20" s="444">
        <f t="shared" si="3"/>
        <v>0</v>
      </c>
    </row>
    <row r="21" spans="1:22" x14ac:dyDescent="0.25">
      <c r="A21" s="152"/>
      <c r="B21" s="160"/>
      <c r="C21" s="160"/>
      <c r="D21" s="167" t="s">
        <v>88</v>
      </c>
      <c r="E21" s="166" t="s">
        <v>89</v>
      </c>
      <c r="F21" s="162">
        <v>19063.189999999999</v>
      </c>
      <c r="G21" s="158">
        <f>AVERAGE(F21/F5*100)</f>
        <v>0.24961755489983409</v>
      </c>
      <c r="H21" s="162">
        <v>30000</v>
      </c>
      <c r="I21" s="158">
        <f>AVERAGE(H21/H5*100)</f>
        <v>0.28325557338387114</v>
      </c>
      <c r="J21" s="578">
        <f t="shared" si="4"/>
        <v>-5000</v>
      </c>
      <c r="K21" s="162">
        <v>25000</v>
      </c>
      <c r="L21" s="158">
        <f>AVERAGE(K21/K5*100)</f>
        <v>0.1988633290294006</v>
      </c>
      <c r="M21" s="159">
        <f t="shared" si="0"/>
        <v>83.333333333333343</v>
      </c>
      <c r="N21" s="589"/>
      <c r="O21" s="411">
        <v>12000</v>
      </c>
      <c r="P21" s="412">
        <v>11800</v>
      </c>
      <c r="Q21" s="412"/>
      <c r="R21" s="412"/>
      <c r="S21" s="549">
        <v>1200</v>
      </c>
      <c r="T21" s="590"/>
      <c r="U21" s="413"/>
      <c r="V21" s="444">
        <f t="shared" si="3"/>
        <v>0</v>
      </c>
    </row>
    <row r="22" spans="1:22" x14ac:dyDescent="0.25">
      <c r="A22" s="152"/>
      <c r="B22" s="160"/>
      <c r="C22" s="163"/>
      <c r="D22" s="167">
        <v>3214</v>
      </c>
      <c r="E22" s="166" t="s">
        <v>90</v>
      </c>
      <c r="F22" s="162">
        <v>0</v>
      </c>
      <c r="G22" s="158">
        <f>AVERAGE(F22/F5*100)</f>
        <v>0</v>
      </c>
      <c r="H22" s="162">
        <v>700</v>
      </c>
      <c r="I22" s="158">
        <f>AVERAGE(H22/H5*100)</f>
        <v>6.609296712290328E-3</v>
      </c>
      <c r="J22" s="578">
        <f t="shared" si="4"/>
        <v>-600</v>
      </c>
      <c r="K22" s="162">
        <v>100</v>
      </c>
      <c r="L22" s="158">
        <f>AVERAGE(K22/K5*100)</f>
        <v>7.9545331611760226E-4</v>
      </c>
      <c r="M22" s="159">
        <f t="shared" si="0"/>
        <v>14.285714285714285</v>
      </c>
      <c r="N22" s="589"/>
      <c r="O22" s="411">
        <v>50</v>
      </c>
      <c r="P22" s="412">
        <v>50</v>
      </c>
      <c r="Q22" s="412"/>
      <c r="R22" s="412"/>
      <c r="S22" s="549"/>
      <c r="T22" s="590"/>
      <c r="U22" s="413"/>
      <c r="V22" s="444">
        <f t="shared" si="3"/>
        <v>0</v>
      </c>
    </row>
    <row r="23" spans="1:22" x14ac:dyDescent="0.25">
      <c r="A23" s="152"/>
      <c r="B23" s="160"/>
      <c r="C23" s="154">
        <v>322</v>
      </c>
      <c r="D23" s="167"/>
      <c r="E23" s="168" t="s">
        <v>91</v>
      </c>
      <c r="F23" s="157">
        <f>SUM(F24:F29)</f>
        <v>1208452.8499999999</v>
      </c>
      <c r="G23" s="158">
        <f>AVERAGE(F23/F5*100)</f>
        <v>15.823744380071538</v>
      </c>
      <c r="H23" s="162">
        <f>SUM(H24:H29)</f>
        <v>2225947</v>
      </c>
      <c r="I23" s="158">
        <f>AVERAGE(H23/H5*100)</f>
        <v>21.017063126903597</v>
      </c>
      <c r="J23" s="578">
        <f t="shared" si="4"/>
        <v>-66000</v>
      </c>
      <c r="K23" s="162">
        <f>SUM(K24:K29)</f>
        <v>2159947</v>
      </c>
      <c r="L23" s="158">
        <f>AVERAGE(K23/K5*100)</f>
        <v>17.181370037882669</v>
      </c>
      <c r="M23" s="159">
        <f t="shared" si="0"/>
        <v>97.034969835310548</v>
      </c>
      <c r="N23" s="591">
        <f>SUM(N24:N29)</f>
        <v>0</v>
      </c>
      <c r="O23" s="411">
        <f t="shared" ref="O23:U23" si="16">SUM(O24:O29)</f>
        <v>1758479</v>
      </c>
      <c r="P23" s="411">
        <f t="shared" si="16"/>
        <v>351773</v>
      </c>
      <c r="Q23" s="411">
        <f t="shared" si="16"/>
        <v>695</v>
      </c>
      <c r="R23" s="411">
        <f t="shared" si="16"/>
        <v>0</v>
      </c>
      <c r="S23" s="592">
        <f t="shared" si="16"/>
        <v>49000</v>
      </c>
      <c r="T23" s="593">
        <f t="shared" ref="T23" si="17">SUM(T24:T29)</f>
        <v>0</v>
      </c>
      <c r="U23" s="415">
        <f t="shared" si="16"/>
        <v>0</v>
      </c>
      <c r="V23" s="444">
        <f t="shared" si="3"/>
        <v>0</v>
      </c>
    </row>
    <row r="24" spans="1:22" x14ac:dyDescent="0.25">
      <c r="A24" s="152"/>
      <c r="B24" s="160"/>
      <c r="C24" s="153"/>
      <c r="D24" s="167">
        <v>3221</v>
      </c>
      <c r="E24" s="161" t="s">
        <v>92</v>
      </c>
      <c r="F24" s="162">
        <v>113090.35</v>
      </c>
      <c r="G24" s="158">
        <f>AVERAGE(F24/F5*100)</f>
        <v>1.4808296329085768</v>
      </c>
      <c r="H24" s="162">
        <v>182330</v>
      </c>
      <c r="I24" s="158">
        <f>AVERAGE(H24/H5*100)</f>
        <v>1.7215329565027075</v>
      </c>
      <c r="J24" s="578">
        <f t="shared" si="4"/>
        <v>26600</v>
      </c>
      <c r="K24" s="162">
        <v>208930</v>
      </c>
      <c r="L24" s="158">
        <f>AVERAGE(K24/K5*100)</f>
        <v>1.6619406133645067</v>
      </c>
      <c r="M24" s="159">
        <f t="shared" si="0"/>
        <v>114.58893215598091</v>
      </c>
      <c r="N24" s="589"/>
      <c r="O24" s="411">
        <f>130000+25800</f>
        <v>155800</v>
      </c>
      <c r="P24" s="412">
        <v>51130</v>
      </c>
      <c r="Q24" s="412"/>
      <c r="R24" s="412"/>
      <c r="S24" s="549">
        <v>2000</v>
      </c>
      <c r="T24" s="590"/>
      <c r="U24" s="413"/>
      <c r="V24" s="444">
        <f t="shared" si="3"/>
        <v>0</v>
      </c>
    </row>
    <row r="25" spans="1:22" x14ac:dyDescent="0.25">
      <c r="A25" s="152"/>
      <c r="B25" s="160"/>
      <c r="C25" s="160"/>
      <c r="D25" s="167">
        <v>3222</v>
      </c>
      <c r="E25" s="161" t="s">
        <v>93</v>
      </c>
      <c r="F25" s="162">
        <v>459134.62</v>
      </c>
      <c r="G25" s="158">
        <f>AVERAGE(F25/F5*100)</f>
        <v>6.0120085470618747</v>
      </c>
      <c r="H25" s="162">
        <f>791380+2700-2700</f>
        <v>791380</v>
      </c>
      <c r="I25" s="158">
        <f>AVERAGE(H25/H5*100)</f>
        <v>7.4720931888175981</v>
      </c>
      <c r="J25" s="578">
        <f t="shared" si="4"/>
        <v>-16100</v>
      </c>
      <c r="K25" s="162">
        <v>775280</v>
      </c>
      <c r="L25" s="158">
        <f>AVERAGE(K25/K5*100)</f>
        <v>6.1669904691965476</v>
      </c>
      <c r="M25" s="159">
        <f t="shared" si="0"/>
        <v>97.965579114963731</v>
      </c>
      <c r="N25" s="589"/>
      <c r="O25" s="411">
        <f>665000-2700-23340+50000+10000+2269</f>
        <v>701229</v>
      </c>
      <c r="P25" s="412">
        <f>110725-50000-10000-2269</f>
        <v>48456</v>
      </c>
      <c r="Q25" s="412">
        <v>595</v>
      </c>
      <c r="R25" s="412"/>
      <c r="S25" s="549">
        <v>25000</v>
      </c>
      <c r="T25" s="590"/>
      <c r="U25" s="549"/>
      <c r="V25" s="444">
        <f t="shared" si="3"/>
        <v>0</v>
      </c>
    </row>
    <row r="26" spans="1:22" x14ac:dyDescent="0.25">
      <c r="A26" s="152"/>
      <c r="B26" s="160"/>
      <c r="C26" s="160"/>
      <c r="D26" s="167">
        <v>3223</v>
      </c>
      <c r="E26" s="161" t="s">
        <v>94</v>
      </c>
      <c r="F26" s="162">
        <v>327850.07</v>
      </c>
      <c r="G26" s="158">
        <f>AVERAGE(F26/F5*100)</f>
        <v>4.2929401032639056</v>
      </c>
      <c r="H26" s="162">
        <f>705000-50000</f>
        <v>655000</v>
      </c>
      <c r="I26" s="158">
        <f>AVERAGE(H26/H5*100)</f>
        <v>6.1844133522145208</v>
      </c>
      <c r="J26" s="578">
        <f t="shared" si="4"/>
        <v>-75000</v>
      </c>
      <c r="K26" s="162">
        <v>580000</v>
      </c>
      <c r="L26" s="158">
        <f>AVERAGE(K26/K5*100)</f>
        <v>4.6136292334820936</v>
      </c>
      <c r="M26" s="159">
        <f t="shared" si="0"/>
        <v>88.549618320610691</v>
      </c>
      <c r="N26" s="589"/>
      <c r="O26" s="411">
        <f>550000-50000-45000+25000</f>
        <v>480000</v>
      </c>
      <c r="P26" s="412">
        <v>100000</v>
      </c>
      <c r="Q26" s="412"/>
      <c r="R26" s="412"/>
      <c r="S26" s="549"/>
      <c r="T26" s="590"/>
      <c r="U26" s="549"/>
      <c r="V26" s="444">
        <f t="shared" si="3"/>
        <v>0</v>
      </c>
    </row>
    <row r="27" spans="1:22" x14ac:dyDescent="0.25">
      <c r="A27" s="152"/>
      <c r="B27" s="160"/>
      <c r="C27" s="160"/>
      <c r="D27" s="167">
        <v>3224</v>
      </c>
      <c r="E27" s="168" t="s">
        <v>95</v>
      </c>
      <c r="F27" s="162">
        <v>220759.91</v>
      </c>
      <c r="G27" s="158">
        <f>AVERAGE(F27/F5*100)</f>
        <v>2.8906782628776941</v>
      </c>
      <c r="H27" s="162">
        <f>414950</f>
        <v>414950</v>
      </c>
      <c r="I27" s="158">
        <f>AVERAGE(H27/H5*100)</f>
        <v>3.9178966725212447</v>
      </c>
      <c r="J27" s="578">
        <f t="shared" si="4"/>
        <v>-1500</v>
      </c>
      <c r="K27" s="162">
        <v>413450</v>
      </c>
      <c r="L27" s="158">
        <f>AVERAGE(K27/K5*100)</f>
        <v>3.2888017354882266</v>
      </c>
      <c r="M27" s="159">
        <f t="shared" si="0"/>
        <v>99.638510663935406</v>
      </c>
      <c r="N27" s="589"/>
      <c r="O27" s="411">
        <f>276950-3500+10000</f>
        <v>283450</v>
      </c>
      <c r="P27" s="412">
        <v>108000</v>
      </c>
      <c r="Q27" s="412"/>
      <c r="R27" s="412"/>
      <c r="S27" s="549">
        <v>22000</v>
      </c>
      <c r="T27" s="590"/>
      <c r="U27" s="413"/>
      <c r="V27" s="444">
        <f t="shared" si="3"/>
        <v>0</v>
      </c>
    </row>
    <row r="28" spans="1:22" x14ac:dyDescent="0.25">
      <c r="A28" s="152"/>
      <c r="B28" s="160"/>
      <c r="C28" s="160"/>
      <c r="D28" s="167" t="s">
        <v>96</v>
      </c>
      <c r="E28" s="168" t="s">
        <v>97</v>
      </c>
      <c r="F28" s="162">
        <v>43707</v>
      </c>
      <c r="G28" s="158">
        <f>AVERAGE(F28/F5*100)</f>
        <v>0.57230896151205801</v>
      </c>
      <c r="H28" s="162">
        <v>93200</v>
      </c>
      <c r="I28" s="158">
        <f>AVERAGE(H28/H5*100)</f>
        <v>0.87998064797922637</v>
      </c>
      <c r="J28" s="578">
        <f t="shared" si="4"/>
        <v>0</v>
      </c>
      <c r="K28" s="162">
        <v>93200</v>
      </c>
      <c r="L28" s="158">
        <f>AVERAGE(K28/K5*100)</f>
        <v>0.74136249062160542</v>
      </c>
      <c r="M28" s="159">
        <f t="shared" si="0"/>
        <v>100</v>
      </c>
      <c r="N28" s="589"/>
      <c r="O28" s="411">
        <v>78000</v>
      </c>
      <c r="P28" s="412">
        <v>15100</v>
      </c>
      <c r="Q28" s="412">
        <v>100</v>
      </c>
      <c r="R28" s="412"/>
      <c r="S28" s="549"/>
      <c r="T28" s="590"/>
      <c r="U28" s="413"/>
      <c r="V28" s="444">
        <f t="shared" si="3"/>
        <v>0</v>
      </c>
    </row>
    <row r="29" spans="1:22" x14ac:dyDescent="0.25">
      <c r="A29" s="152"/>
      <c r="B29" s="160"/>
      <c r="C29" s="163"/>
      <c r="D29" s="167">
        <v>3227</v>
      </c>
      <c r="E29" s="168" t="s">
        <v>98</v>
      </c>
      <c r="F29" s="162">
        <v>43910.9</v>
      </c>
      <c r="G29" s="158">
        <f>AVERAGE(F29/F5*100)</f>
        <v>0.57497887244743018</v>
      </c>
      <c r="H29" s="162">
        <v>89087</v>
      </c>
      <c r="I29" s="158">
        <f>AVERAGE(H29/H5*100)</f>
        <v>0.84114630886829767</v>
      </c>
      <c r="J29" s="578">
        <f t="shared" si="4"/>
        <v>0</v>
      </c>
      <c r="K29" s="162">
        <v>89087</v>
      </c>
      <c r="L29" s="158">
        <f>AVERAGE(K29/K5*100)</f>
        <v>0.70864549572968838</v>
      </c>
      <c r="M29" s="159">
        <f t="shared" si="0"/>
        <v>100</v>
      </c>
      <c r="N29" s="589"/>
      <c r="O29" s="411">
        <f>50000+10000</f>
        <v>60000</v>
      </c>
      <c r="P29" s="412">
        <f>39087-10000</f>
        <v>29087</v>
      </c>
      <c r="Q29" s="412"/>
      <c r="R29" s="412"/>
      <c r="S29" s="549"/>
      <c r="T29" s="590"/>
      <c r="U29" s="413"/>
      <c r="V29" s="444">
        <f t="shared" si="3"/>
        <v>0</v>
      </c>
    </row>
    <row r="30" spans="1:22" x14ac:dyDescent="0.25">
      <c r="A30" s="152"/>
      <c r="B30" s="160"/>
      <c r="C30" s="154">
        <v>323</v>
      </c>
      <c r="D30" s="170"/>
      <c r="E30" s="168" t="s">
        <v>99</v>
      </c>
      <c r="F30" s="157">
        <f>SUM(F31:F39)</f>
        <v>1441416.3000000003</v>
      </c>
      <c r="G30" s="158">
        <f>AVERAGE(F30/F5*100)</f>
        <v>18.874218449208438</v>
      </c>
      <c r="H30" s="162">
        <f>SUM(H31:H39)</f>
        <v>2341645</v>
      </c>
      <c r="I30" s="158">
        <f>AVERAGE(H30/H5*100)</f>
        <v>22.109466571215833</v>
      </c>
      <c r="J30" s="578">
        <f t="shared" si="4"/>
        <v>-55494</v>
      </c>
      <c r="K30" s="162">
        <f>SUM(K31:K39)</f>
        <v>2286151</v>
      </c>
      <c r="L30" s="158">
        <f>AVERAGE(K30/K5*100)</f>
        <v>18.185263940955728</v>
      </c>
      <c r="M30" s="159">
        <f t="shared" si="0"/>
        <v>97.630127538546617</v>
      </c>
      <c r="N30" s="591">
        <f t="shared" ref="N30:U30" si="18">SUM(N31:N39)</f>
        <v>0</v>
      </c>
      <c r="O30" s="411">
        <f t="shared" si="18"/>
        <v>1460856</v>
      </c>
      <c r="P30" s="411">
        <f t="shared" si="18"/>
        <v>431677</v>
      </c>
      <c r="Q30" s="411">
        <f t="shared" si="18"/>
        <v>0</v>
      </c>
      <c r="R30" s="411">
        <f t="shared" si="18"/>
        <v>17900</v>
      </c>
      <c r="S30" s="592">
        <f t="shared" si="18"/>
        <v>292638</v>
      </c>
      <c r="T30" s="593">
        <f t="shared" ref="T30" si="19">SUM(T31:T39)</f>
        <v>83080</v>
      </c>
      <c r="U30" s="415">
        <f t="shared" si="18"/>
        <v>0</v>
      </c>
      <c r="V30" s="444">
        <f t="shared" si="3"/>
        <v>0</v>
      </c>
    </row>
    <row r="31" spans="1:22" x14ac:dyDescent="0.25">
      <c r="A31" s="152"/>
      <c r="B31" s="160"/>
      <c r="C31" s="153"/>
      <c r="D31" s="155">
        <v>3231</v>
      </c>
      <c r="E31" s="161" t="s">
        <v>100</v>
      </c>
      <c r="F31" s="162">
        <v>14418.29</v>
      </c>
      <c r="G31" s="158">
        <f>AVERAGE(F31/F5*100)</f>
        <v>0.18879622432744619</v>
      </c>
      <c r="H31" s="162">
        <v>25800</v>
      </c>
      <c r="I31" s="158">
        <f>AVERAGE(H31/H5*100)</f>
        <v>0.24359979311012919</v>
      </c>
      <c r="J31" s="578">
        <f t="shared" si="4"/>
        <v>0</v>
      </c>
      <c r="K31" s="162">
        <v>25800</v>
      </c>
      <c r="L31" s="158">
        <f>AVERAGE(K31/K5*100)</f>
        <v>0.20522695555834142</v>
      </c>
      <c r="M31" s="159">
        <f t="shared" si="0"/>
        <v>100</v>
      </c>
      <c r="N31" s="589"/>
      <c r="O31" s="411">
        <v>15000</v>
      </c>
      <c r="P31" s="412">
        <f>10800-555</f>
        <v>10245</v>
      </c>
      <c r="Q31" s="412"/>
      <c r="R31" s="412"/>
      <c r="S31" s="549">
        <v>555</v>
      </c>
      <c r="T31" s="590"/>
      <c r="U31" s="413"/>
      <c r="V31" s="444">
        <f t="shared" si="3"/>
        <v>0</v>
      </c>
    </row>
    <row r="32" spans="1:22" x14ac:dyDescent="0.25">
      <c r="A32" s="152"/>
      <c r="B32" s="160"/>
      <c r="C32" s="160"/>
      <c r="D32" s="155">
        <v>3232</v>
      </c>
      <c r="E32" s="161" t="s">
        <v>101</v>
      </c>
      <c r="F32" s="162">
        <v>867502.23</v>
      </c>
      <c r="G32" s="158">
        <f>AVERAGE(F32/F5*100)</f>
        <v>11.359262826565413</v>
      </c>
      <c r="H32" s="162">
        <f>1093927+8345-8345</f>
        <v>1093927</v>
      </c>
      <c r="I32" s="158">
        <f>AVERAGE(H32/H5*100)</f>
        <v>10.328697320836602</v>
      </c>
      <c r="J32" s="578">
        <f t="shared" si="4"/>
        <v>-38200</v>
      </c>
      <c r="K32" s="162">
        <f>1068727-13000</f>
        <v>1055727</v>
      </c>
      <c r="L32" s="158">
        <f>AVERAGE(K32/K5*100)</f>
        <v>8.3978154306488797</v>
      </c>
      <c r="M32" s="159">
        <f t="shared" si="0"/>
        <v>96.507993677823109</v>
      </c>
      <c r="N32" s="589"/>
      <c r="O32" s="411">
        <v>772000</v>
      </c>
      <c r="P32" s="412">
        <v>32782</v>
      </c>
      <c r="Q32" s="412"/>
      <c r="R32" s="412">
        <v>17900</v>
      </c>
      <c r="S32" s="549">
        <f>214140+8345</f>
        <v>222485</v>
      </c>
      <c r="T32" s="590">
        <v>10560</v>
      </c>
      <c r="U32" s="413"/>
      <c r="V32" s="444">
        <f t="shared" si="3"/>
        <v>0</v>
      </c>
    </row>
    <row r="33" spans="1:22" x14ac:dyDescent="0.25">
      <c r="A33" s="152"/>
      <c r="B33" s="160"/>
      <c r="C33" s="160"/>
      <c r="D33" s="155">
        <v>3233</v>
      </c>
      <c r="E33" s="166" t="s">
        <v>102</v>
      </c>
      <c r="F33" s="162">
        <v>65106.44</v>
      </c>
      <c r="G33" s="158">
        <f>AVERAGE(F33/F5*100)</f>
        <v>0.85251788189871447</v>
      </c>
      <c r="H33" s="162">
        <v>139350</v>
      </c>
      <c r="I33" s="158">
        <f>AVERAGE(H33/H5*100)</f>
        <v>1.3157221383680815</v>
      </c>
      <c r="J33" s="578">
        <f t="shared" si="4"/>
        <v>-16600</v>
      </c>
      <c r="K33" s="162">
        <f>130750-8000</f>
        <v>122750</v>
      </c>
      <c r="L33" s="158">
        <f>AVERAGE(K33/K5*100)</f>
        <v>0.97641894553435693</v>
      </c>
      <c r="M33" s="159">
        <f t="shared" si="0"/>
        <v>88.087549336203807</v>
      </c>
      <c r="N33" s="589"/>
      <c r="O33" s="639">
        <v>90000</v>
      </c>
      <c r="P33" s="640">
        <v>30670</v>
      </c>
      <c r="Q33" s="412"/>
      <c r="R33" s="412"/>
      <c r="S33" s="549">
        <v>2080</v>
      </c>
      <c r="T33" s="590"/>
      <c r="U33" s="413"/>
      <c r="V33" s="444">
        <f t="shared" si="3"/>
        <v>0</v>
      </c>
    </row>
    <row r="34" spans="1:22" x14ac:dyDescent="0.25">
      <c r="A34" s="152"/>
      <c r="B34" s="160"/>
      <c r="C34" s="160"/>
      <c r="D34" s="155">
        <v>3234</v>
      </c>
      <c r="E34" s="166" t="s">
        <v>103</v>
      </c>
      <c r="F34" s="162">
        <v>120999.1</v>
      </c>
      <c r="G34" s="158">
        <f>AVERAGE(F34/F5*100)</f>
        <v>1.5843885250622018</v>
      </c>
      <c r="H34" s="162">
        <f>225336-30000</f>
        <v>195336</v>
      </c>
      <c r="I34" s="158">
        <f>AVERAGE(H34/H5*100)</f>
        <v>1.8443336894170621</v>
      </c>
      <c r="J34" s="578">
        <f t="shared" si="4"/>
        <v>-1000</v>
      </c>
      <c r="K34" s="162">
        <v>194336</v>
      </c>
      <c r="L34" s="158">
        <f>AVERAGE(K34/K5*100)</f>
        <v>1.5458521564103038</v>
      </c>
      <c r="M34" s="159">
        <f t="shared" si="0"/>
        <v>99.488061596428722</v>
      </c>
      <c r="N34" s="589"/>
      <c r="O34" s="639">
        <v>129336</v>
      </c>
      <c r="P34" s="640">
        <v>65000</v>
      </c>
      <c r="Q34" s="412"/>
      <c r="R34" s="412"/>
      <c r="S34" s="549"/>
      <c r="T34" s="590"/>
      <c r="U34" s="413"/>
      <c r="V34" s="444">
        <f t="shared" si="3"/>
        <v>0</v>
      </c>
    </row>
    <row r="35" spans="1:22" x14ac:dyDescent="0.25">
      <c r="A35" s="152"/>
      <c r="B35" s="160"/>
      <c r="C35" s="160"/>
      <c r="D35" s="155">
        <v>3235</v>
      </c>
      <c r="E35" s="166" t="s">
        <v>104</v>
      </c>
      <c r="F35" s="162">
        <v>901.55</v>
      </c>
      <c r="G35" s="158">
        <f>AVERAGE(F35/F5*100)</f>
        <v>1.1805091730185003E-2</v>
      </c>
      <c r="H35" s="162">
        <v>10000</v>
      </c>
      <c r="I35" s="158">
        <f>AVERAGE(H35/H5*100)</f>
        <v>9.4418524461290385E-2</v>
      </c>
      <c r="J35" s="578">
        <f t="shared" si="4"/>
        <v>200</v>
      </c>
      <c r="K35" s="162">
        <v>10200</v>
      </c>
      <c r="L35" s="158">
        <f>AVERAGE(K35/K5*100)</f>
        <v>8.1136238243995448E-2</v>
      </c>
      <c r="M35" s="159">
        <f t="shared" si="0"/>
        <v>102</v>
      </c>
      <c r="N35" s="589"/>
      <c r="O35" s="639">
        <v>5000</v>
      </c>
      <c r="P35" s="640">
        <v>5040</v>
      </c>
      <c r="Q35" s="412"/>
      <c r="R35" s="412"/>
      <c r="S35" s="549"/>
      <c r="T35" s="590">
        <v>160</v>
      </c>
      <c r="U35" s="413"/>
      <c r="V35" s="492">
        <f t="shared" si="3"/>
        <v>0</v>
      </c>
    </row>
    <row r="36" spans="1:22" x14ac:dyDescent="0.25">
      <c r="A36" s="152"/>
      <c r="B36" s="160"/>
      <c r="C36" s="160"/>
      <c r="D36" s="180">
        <v>3236</v>
      </c>
      <c r="E36" s="494" t="s">
        <v>105</v>
      </c>
      <c r="F36" s="183">
        <v>15331.86</v>
      </c>
      <c r="G36" s="200">
        <f>AVERAGE(F36/F5*100)</f>
        <v>0.20075870855122205</v>
      </c>
      <c r="H36" s="183">
        <v>54750</v>
      </c>
      <c r="I36" s="200">
        <f>AVERAGE(H36/H5*100)</f>
        <v>0.51694142142556487</v>
      </c>
      <c r="J36" s="577">
        <f t="shared" si="4"/>
        <v>-10000</v>
      </c>
      <c r="K36" s="183">
        <v>44750</v>
      </c>
      <c r="L36" s="200">
        <f>AVERAGE(K36/K5*100)</f>
        <v>0.35596535896262704</v>
      </c>
      <c r="M36" s="202">
        <f t="shared" si="0"/>
        <v>81.735159817351601</v>
      </c>
      <c r="N36" s="601"/>
      <c r="O36" s="641">
        <v>29750</v>
      </c>
      <c r="P36" s="642">
        <v>15000</v>
      </c>
      <c r="Q36" s="602"/>
      <c r="R36" s="602"/>
      <c r="S36" s="603"/>
      <c r="T36" s="604"/>
      <c r="U36" s="495"/>
      <c r="V36" s="444">
        <f t="shared" si="3"/>
        <v>0</v>
      </c>
    </row>
    <row r="37" spans="1:22" x14ac:dyDescent="0.25">
      <c r="A37" s="152"/>
      <c r="B37" s="160"/>
      <c r="C37" s="160"/>
      <c r="D37" s="155">
        <v>3237</v>
      </c>
      <c r="E37" s="168" t="s">
        <v>106</v>
      </c>
      <c r="F37" s="162">
        <v>159148.92000000001</v>
      </c>
      <c r="G37" s="158">
        <f>AVERAGE(F37/F5*100)</f>
        <v>2.0839305633185901</v>
      </c>
      <c r="H37" s="162">
        <v>444354</v>
      </c>
      <c r="I37" s="158">
        <f>AVERAGE(H37/H5*100)</f>
        <v>4.1955249018472234</v>
      </c>
      <c r="J37" s="578">
        <f t="shared" si="4"/>
        <v>37106</v>
      </c>
      <c r="K37" s="162">
        <f>495460-14000</f>
        <v>481460</v>
      </c>
      <c r="L37" s="158">
        <f>AVERAGE(K37/K5*100)</f>
        <v>3.829789535779808</v>
      </c>
      <c r="M37" s="159">
        <f t="shared" ref="M37:M69" si="20">AVERAGE(K37/H37)*100</f>
        <v>108.35054933679005</v>
      </c>
      <c r="N37" s="589"/>
      <c r="O37" s="411">
        <f>170000+28000+20000</f>
        <v>218000</v>
      </c>
      <c r="P37" s="412">
        <f>134747+20000-5-20000</f>
        <v>134742</v>
      </c>
      <c r="Q37" s="412"/>
      <c r="R37" s="412"/>
      <c r="S37" s="549">
        <f>58438+81169-81169</f>
        <v>58438</v>
      </c>
      <c r="T37" s="590">
        <v>70280</v>
      </c>
      <c r="U37" s="413"/>
      <c r="V37" s="444">
        <f t="shared" ref="V37:V68" si="21">K37-SUM(N37:U37)</f>
        <v>0</v>
      </c>
    </row>
    <row r="38" spans="1:22" x14ac:dyDescent="0.25">
      <c r="A38" s="152"/>
      <c r="B38" s="160"/>
      <c r="C38" s="160"/>
      <c r="D38" s="155">
        <v>3238</v>
      </c>
      <c r="E38" s="168" t="s">
        <v>107</v>
      </c>
      <c r="F38" s="162">
        <v>69738.86</v>
      </c>
      <c r="G38" s="158">
        <f>AVERAGE(F38/F5*100)</f>
        <v>0.9131757966374906</v>
      </c>
      <c r="H38" s="162">
        <v>157878</v>
      </c>
      <c r="I38" s="158">
        <f>AVERAGE(H38/H5*100)</f>
        <v>1.4906607804899603</v>
      </c>
      <c r="J38" s="578">
        <f t="shared" si="4"/>
        <v>-6400</v>
      </c>
      <c r="K38" s="162">
        <f>161478-10000</f>
        <v>151478</v>
      </c>
      <c r="L38" s="158">
        <f>AVERAGE(K38/K5*100)</f>
        <v>1.2049367741886217</v>
      </c>
      <c r="M38" s="159">
        <f t="shared" si="20"/>
        <v>95.946236967785254</v>
      </c>
      <c r="N38" s="589"/>
      <c r="O38" s="411">
        <v>82000</v>
      </c>
      <c r="P38" s="412">
        <f>68678-480</f>
        <v>68198</v>
      </c>
      <c r="Q38" s="412"/>
      <c r="R38" s="412"/>
      <c r="S38" s="549">
        <v>800</v>
      </c>
      <c r="T38" s="590">
        <v>480</v>
      </c>
      <c r="U38" s="413"/>
      <c r="V38" s="444">
        <f t="shared" si="21"/>
        <v>0</v>
      </c>
    </row>
    <row r="39" spans="1:22" x14ac:dyDescent="0.25">
      <c r="A39" s="152"/>
      <c r="B39" s="160"/>
      <c r="C39" s="163"/>
      <c r="D39" s="155">
        <v>3239</v>
      </c>
      <c r="E39" s="168" t="s">
        <v>108</v>
      </c>
      <c r="F39" s="162">
        <v>128269.05</v>
      </c>
      <c r="G39" s="158">
        <f>AVERAGE(F39/F5*100)</f>
        <v>1.6795828311171723</v>
      </c>
      <c r="H39" s="162">
        <f>270250-50000</f>
        <v>220250</v>
      </c>
      <c r="I39" s="158">
        <f>AVERAGE(H39/H5*100)</f>
        <v>2.0795680012599207</v>
      </c>
      <c r="J39" s="578">
        <f t="shared" si="4"/>
        <v>-20600</v>
      </c>
      <c r="K39" s="162">
        <f>211650-12000</f>
        <v>199650</v>
      </c>
      <c r="L39" s="158">
        <f>AVERAGE(K39/K5*100)</f>
        <v>1.5881225456287931</v>
      </c>
      <c r="M39" s="159">
        <f t="shared" si="20"/>
        <v>90.646992054483547</v>
      </c>
      <c r="N39" s="591"/>
      <c r="O39" s="411">
        <f>119770</f>
        <v>119770</v>
      </c>
      <c r="P39" s="411">
        <f>70000</f>
        <v>70000</v>
      </c>
      <c r="Q39" s="411"/>
      <c r="R39" s="411"/>
      <c r="S39" s="592">
        <v>8280</v>
      </c>
      <c r="T39" s="593">
        <v>1600</v>
      </c>
      <c r="U39" s="415"/>
      <c r="V39" s="444">
        <f t="shared" si="21"/>
        <v>0</v>
      </c>
    </row>
    <row r="40" spans="1:22" x14ac:dyDescent="0.25">
      <c r="A40" s="152"/>
      <c r="B40" s="160"/>
      <c r="C40" s="163">
        <v>324</v>
      </c>
      <c r="D40" s="155"/>
      <c r="E40" s="168" t="s">
        <v>109</v>
      </c>
      <c r="F40" s="169">
        <f>SUM(F41)</f>
        <v>153.71</v>
      </c>
      <c r="G40" s="158">
        <f>AVERAGE(F40/F5*100)</f>
        <v>2.0127121622170005E-3</v>
      </c>
      <c r="H40" s="451">
        <f>SUM(H41)</f>
        <v>2650</v>
      </c>
      <c r="I40" s="158">
        <f>AVERAGE(H40/H5*100)</f>
        <v>2.5020908982241952E-2</v>
      </c>
      <c r="J40" s="578">
        <f t="shared" si="4"/>
        <v>1000</v>
      </c>
      <c r="K40" s="451">
        <f>SUM(K41)</f>
        <v>3650</v>
      </c>
      <c r="L40" s="158">
        <f>AVERAGE(K40/K5*100)</f>
        <v>2.9034046038292485E-2</v>
      </c>
      <c r="M40" s="159">
        <f t="shared" si="20"/>
        <v>137.73584905660377</v>
      </c>
      <c r="N40" s="594">
        <f>SUM(N41)</f>
        <v>0</v>
      </c>
      <c r="O40" s="417">
        <f t="shared" ref="O40:U40" si="22">SUM(O41)</f>
        <v>1000</v>
      </c>
      <c r="P40" s="417">
        <f t="shared" si="22"/>
        <v>1850</v>
      </c>
      <c r="Q40" s="417">
        <f t="shared" si="22"/>
        <v>0</v>
      </c>
      <c r="R40" s="417">
        <f t="shared" si="22"/>
        <v>0</v>
      </c>
      <c r="S40" s="595">
        <f t="shared" si="22"/>
        <v>0</v>
      </c>
      <c r="T40" s="596">
        <f t="shared" si="22"/>
        <v>800</v>
      </c>
      <c r="U40" s="418">
        <f t="shared" si="22"/>
        <v>0</v>
      </c>
      <c r="V40" s="444">
        <f t="shared" si="21"/>
        <v>0</v>
      </c>
    </row>
    <row r="41" spans="1:22" x14ac:dyDescent="0.25">
      <c r="A41" s="152"/>
      <c r="B41" s="160"/>
      <c r="C41" s="163"/>
      <c r="D41" s="155">
        <v>3241</v>
      </c>
      <c r="E41" s="168" t="s">
        <v>109</v>
      </c>
      <c r="F41" s="162">
        <v>153.71</v>
      </c>
      <c r="G41" s="158">
        <f>AVERAGE(F41/F5*100)</f>
        <v>2.0127121622170005E-3</v>
      </c>
      <c r="H41" s="162">
        <v>2650</v>
      </c>
      <c r="I41" s="158">
        <f>AVERAGE(H41/H5*100)</f>
        <v>2.5020908982241952E-2</v>
      </c>
      <c r="J41" s="578">
        <f t="shared" si="4"/>
        <v>1000</v>
      </c>
      <c r="K41" s="162">
        <v>3650</v>
      </c>
      <c r="L41" s="158">
        <f>AVERAGE(K41/K5*100)</f>
        <v>2.9034046038292485E-2</v>
      </c>
      <c r="M41" s="159">
        <f t="shared" si="20"/>
        <v>137.73584905660377</v>
      </c>
      <c r="N41" s="591"/>
      <c r="O41" s="411">
        <v>1000</v>
      </c>
      <c r="P41" s="411">
        <v>1850</v>
      </c>
      <c r="Q41" s="411"/>
      <c r="R41" s="411"/>
      <c r="S41" s="592"/>
      <c r="T41" s="593">
        <v>800</v>
      </c>
      <c r="U41" s="415"/>
      <c r="V41" s="444">
        <f t="shared" si="21"/>
        <v>0</v>
      </c>
    </row>
    <row r="42" spans="1:22" x14ac:dyDescent="0.25">
      <c r="A42" s="152"/>
      <c r="B42" s="160"/>
      <c r="C42" s="154">
        <v>329</v>
      </c>
      <c r="D42" s="155"/>
      <c r="E42" s="161" t="s">
        <v>110</v>
      </c>
      <c r="F42" s="157">
        <f>SUM(F43:F49)</f>
        <v>284838.43</v>
      </c>
      <c r="G42" s="158">
        <f>AVERAGE(F42/F5*100)</f>
        <v>3.7297363367887297</v>
      </c>
      <c r="H42" s="162">
        <f>SUM(H43:H49)</f>
        <v>341900</v>
      </c>
      <c r="I42" s="158">
        <f>AVERAGE(H42/H5*100)</f>
        <v>3.2281693513315184</v>
      </c>
      <c r="J42" s="578">
        <f t="shared" si="4"/>
        <v>88700</v>
      </c>
      <c r="K42" s="162">
        <f>SUM(K43:K49)</f>
        <v>430600</v>
      </c>
      <c r="L42" s="158">
        <f>AVERAGE(K42/K5*100)</f>
        <v>3.4252219792023961</v>
      </c>
      <c r="M42" s="159">
        <f t="shared" si="20"/>
        <v>125.94325826264989</v>
      </c>
      <c r="N42" s="594">
        <f>SUM(N43:N49)</f>
        <v>0</v>
      </c>
      <c r="O42" s="417">
        <f t="shared" ref="O42:U42" si="23">SUM(O43:O49)</f>
        <v>301000</v>
      </c>
      <c r="P42" s="417">
        <f t="shared" si="23"/>
        <v>129600</v>
      </c>
      <c r="Q42" s="417">
        <f t="shared" si="23"/>
        <v>0</v>
      </c>
      <c r="R42" s="417">
        <f t="shared" si="23"/>
        <v>0</v>
      </c>
      <c r="S42" s="595">
        <f t="shared" si="23"/>
        <v>0</v>
      </c>
      <c r="T42" s="596">
        <f t="shared" ref="T42" si="24">SUM(T43:T49)</f>
        <v>0</v>
      </c>
      <c r="U42" s="418">
        <f t="shared" si="23"/>
        <v>0</v>
      </c>
      <c r="V42" s="444">
        <f t="shared" si="21"/>
        <v>0</v>
      </c>
    </row>
    <row r="43" spans="1:22" x14ac:dyDescent="0.25">
      <c r="A43" s="152"/>
      <c r="B43" s="160"/>
      <c r="C43" s="153"/>
      <c r="D43" s="155">
        <v>3291</v>
      </c>
      <c r="E43" s="161" t="s">
        <v>111</v>
      </c>
      <c r="F43" s="162">
        <v>12277.16</v>
      </c>
      <c r="G43" s="158">
        <f>AVERAGE(F43/F5*100)</f>
        <v>0.16075980254690045</v>
      </c>
      <c r="H43" s="162">
        <v>13500</v>
      </c>
      <c r="I43" s="158">
        <f>AVERAGE(H43/H5*100)</f>
        <v>0.12746500802274202</v>
      </c>
      <c r="J43" s="578">
        <f t="shared" si="4"/>
        <v>6500</v>
      </c>
      <c r="K43" s="162">
        <v>20000</v>
      </c>
      <c r="L43" s="158">
        <f>AVERAGE(K43/K5*100)</f>
        <v>0.15909066322352047</v>
      </c>
      <c r="M43" s="159">
        <f t="shared" si="20"/>
        <v>148.14814814814815</v>
      </c>
      <c r="N43" s="594"/>
      <c r="O43" s="411"/>
      <c r="P43" s="417">
        <v>20000</v>
      </c>
      <c r="Q43" s="417"/>
      <c r="R43" s="417"/>
      <c r="S43" s="595"/>
      <c r="T43" s="596"/>
      <c r="U43" s="418"/>
      <c r="V43" s="444">
        <f t="shared" si="21"/>
        <v>0</v>
      </c>
    </row>
    <row r="44" spans="1:22" x14ac:dyDescent="0.25">
      <c r="A44" s="152"/>
      <c r="B44" s="160"/>
      <c r="C44" s="160"/>
      <c r="D44" s="155">
        <v>3292</v>
      </c>
      <c r="E44" s="161" t="s">
        <v>112</v>
      </c>
      <c r="F44" s="162">
        <v>15372.66</v>
      </c>
      <c r="G44" s="158">
        <f>AVERAGE(F44/F5*100)</f>
        <v>0.20129295262264518</v>
      </c>
      <c r="H44" s="162">
        <v>102500</v>
      </c>
      <c r="I44" s="158">
        <f>AVERAGE(H44/H5*100)</f>
        <v>0.9677898757282265</v>
      </c>
      <c r="J44" s="578">
        <f t="shared" si="4"/>
        <v>0</v>
      </c>
      <c r="K44" s="162">
        <v>102500</v>
      </c>
      <c r="L44" s="158">
        <f>AVERAGE(K44/K5*100)</f>
        <v>0.81533964902054235</v>
      </c>
      <c r="M44" s="159">
        <f t="shared" si="20"/>
        <v>100</v>
      </c>
      <c r="N44" s="594"/>
      <c r="O44" s="411">
        <v>70000</v>
      </c>
      <c r="P44" s="417">
        <v>32500</v>
      </c>
      <c r="Q44" s="417"/>
      <c r="R44" s="417"/>
      <c r="S44" s="595"/>
      <c r="T44" s="596"/>
      <c r="U44" s="418"/>
      <c r="V44" s="444">
        <f t="shared" si="21"/>
        <v>0</v>
      </c>
    </row>
    <row r="45" spans="1:22" x14ac:dyDescent="0.25">
      <c r="A45" s="152"/>
      <c r="B45" s="160"/>
      <c r="C45" s="160"/>
      <c r="D45" s="155">
        <v>3293</v>
      </c>
      <c r="E45" s="161" t="s">
        <v>113</v>
      </c>
      <c r="F45" s="162">
        <v>10059.93</v>
      </c>
      <c r="G45" s="158">
        <f>AVERAGE(F45/F5*100)</f>
        <v>0.13172691081941101</v>
      </c>
      <c r="H45" s="162">
        <v>20300</v>
      </c>
      <c r="I45" s="158">
        <f>AVERAGE(H45/H5*100)</f>
        <v>0.1916696046564195</v>
      </c>
      <c r="J45" s="578">
        <f t="shared" si="4"/>
        <v>-800</v>
      </c>
      <c r="K45" s="162">
        <v>19500</v>
      </c>
      <c r="L45" s="158">
        <f>AVERAGE(K45/K5*100)</f>
        <v>0.15511339664293247</v>
      </c>
      <c r="M45" s="159">
        <f t="shared" si="20"/>
        <v>96.059113300492612</v>
      </c>
      <c r="N45" s="594"/>
      <c r="O45" s="411">
        <v>10000</v>
      </c>
      <c r="P45" s="417">
        <v>9500</v>
      </c>
      <c r="Q45" s="417"/>
      <c r="R45" s="417"/>
      <c r="S45" s="595"/>
      <c r="T45" s="596"/>
      <c r="U45" s="418"/>
      <c r="V45" s="444">
        <f t="shared" si="21"/>
        <v>0</v>
      </c>
    </row>
    <row r="46" spans="1:22" x14ac:dyDescent="0.25">
      <c r="A46" s="152"/>
      <c r="B46" s="160"/>
      <c r="C46" s="160"/>
      <c r="D46" s="155">
        <v>3294</v>
      </c>
      <c r="E46" s="161" t="s">
        <v>114</v>
      </c>
      <c r="F46" s="162">
        <v>559.94000000000005</v>
      </c>
      <c r="G46" s="158">
        <f>AVERAGE(F46/F5*100)</f>
        <v>7.3319761115853699E-3</v>
      </c>
      <c r="H46" s="162">
        <v>2100</v>
      </c>
      <c r="I46" s="158">
        <f>AVERAGE(H46/H5*100)</f>
        <v>1.9827890136870981E-2</v>
      </c>
      <c r="J46" s="578">
        <f t="shared" si="4"/>
        <v>0</v>
      </c>
      <c r="K46" s="162">
        <v>2100</v>
      </c>
      <c r="L46" s="158">
        <f>AVERAGE(K46/K5*100)</f>
        <v>1.670451963846965E-2</v>
      </c>
      <c r="M46" s="159">
        <f t="shared" si="20"/>
        <v>100</v>
      </c>
      <c r="N46" s="594"/>
      <c r="O46" s="411">
        <v>1000</v>
      </c>
      <c r="P46" s="417">
        <v>1100</v>
      </c>
      <c r="Q46" s="417"/>
      <c r="R46" s="417"/>
      <c r="S46" s="595"/>
      <c r="T46" s="596"/>
      <c r="U46" s="418"/>
      <c r="V46" s="444">
        <f t="shared" si="21"/>
        <v>0</v>
      </c>
    </row>
    <row r="47" spans="1:22" x14ac:dyDescent="0.25">
      <c r="A47" s="152"/>
      <c r="B47" s="160"/>
      <c r="C47" s="160"/>
      <c r="D47" s="155">
        <v>3295</v>
      </c>
      <c r="E47" s="161" t="s">
        <v>115</v>
      </c>
      <c r="F47" s="162">
        <v>124005</v>
      </c>
      <c r="G47" s="158">
        <f>AVERAGE(F47/F5*100)</f>
        <v>1.6237484332556056</v>
      </c>
      <c r="H47" s="162">
        <f>150000-20000</f>
        <v>130000</v>
      </c>
      <c r="I47" s="158">
        <f>AVERAGE(H47/H5*100)</f>
        <v>1.2274408179967748</v>
      </c>
      <c r="J47" s="578">
        <f t="shared" si="4"/>
        <v>20000</v>
      </c>
      <c r="K47" s="162">
        <v>150000</v>
      </c>
      <c r="L47" s="158">
        <f>AVERAGE(K47/K5*100)</f>
        <v>1.1931799741764035</v>
      </c>
      <c r="M47" s="159">
        <f t="shared" si="20"/>
        <v>115.38461538461537</v>
      </c>
      <c r="N47" s="594"/>
      <c r="O47" s="411">
        <v>125000</v>
      </c>
      <c r="P47" s="417">
        <v>25000</v>
      </c>
      <c r="Q47" s="417"/>
      <c r="R47" s="417"/>
      <c r="S47" s="595"/>
      <c r="T47" s="596"/>
      <c r="U47" s="418"/>
      <c r="V47" s="444">
        <f t="shared" si="21"/>
        <v>0</v>
      </c>
    </row>
    <row r="48" spans="1:22" x14ac:dyDescent="0.25">
      <c r="A48" s="152"/>
      <c r="B48" s="160"/>
      <c r="C48" s="160"/>
      <c r="D48" s="155">
        <v>3296</v>
      </c>
      <c r="E48" s="161" t="s">
        <v>187</v>
      </c>
      <c r="F48" s="162">
        <v>0</v>
      </c>
      <c r="G48" s="158">
        <f>AVERAGE(F48/F6*100)</f>
        <v>0</v>
      </c>
      <c r="H48" s="162">
        <v>1500</v>
      </c>
      <c r="I48" s="158">
        <f>AVERAGE(H48/H5*100)</f>
        <v>1.4162778669193557E-2</v>
      </c>
      <c r="J48" s="578">
        <f t="shared" si="4"/>
        <v>0</v>
      </c>
      <c r="K48" s="162">
        <v>1500</v>
      </c>
      <c r="L48" s="158">
        <f>AVERAGE(K48/K5*100)</f>
        <v>1.1931799741764035E-2</v>
      </c>
      <c r="M48" s="159">
        <f t="shared" si="20"/>
        <v>100</v>
      </c>
      <c r="N48" s="597"/>
      <c r="O48" s="411"/>
      <c r="P48" s="411">
        <v>1500</v>
      </c>
      <c r="Q48" s="598"/>
      <c r="R48" s="598"/>
      <c r="S48" s="599"/>
      <c r="T48" s="600"/>
      <c r="U48" s="409"/>
      <c r="V48" s="444">
        <f t="shared" si="21"/>
        <v>0</v>
      </c>
    </row>
    <row r="49" spans="1:22" x14ac:dyDescent="0.25">
      <c r="A49" s="152"/>
      <c r="B49" s="163"/>
      <c r="C49" s="163"/>
      <c r="D49" s="155">
        <v>3299</v>
      </c>
      <c r="E49" s="161" t="s">
        <v>110</v>
      </c>
      <c r="F49" s="162">
        <v>122563.74</v>
      </c>
      <c r="G49" s="158">
        <f>AVERAGE(F49/F5*100)</f>
        <v>1.6048762614325824</v>
      </c>
      <c r="H49" s="162">
        <f>100000-28000</f>
        <v>72000</v>
      </c>
      <c r="I49" s="158">
        <f>AVERAGE(H49/H5*100)</f>
        <v>0.67981337612129078</v>
      </c>
      <c r="J49" s="578">
        <f t="shared" si="4"/>
        <v>63000</v>
      </c>
      <c r="K49" s="162">
        <v>135000</v>
      </c>
      <c r="L49" s="158">
        <f>AVERAGE(K49/K5*100)</f>
        <v>1.0738619767587632</v>
      </c>
      <c r="M49" s="159">
        <f t="shared" si="20"/>
        <v>187.5</v>
      </c>
      <c r="N49" s="597"/>
      <c r="O49" s="411">
        <v>95000</v>
      </c>
      <c r="P49" s="411">
        <v>40000</v>
      </c>
      <c r="Q49" s="598"/>
      <c r="R49" s="598"/>
      <c r="S49" s="599"/>
      <c r="T49" s="600"/>
      <c r="U49" s="409"/>
      <c r="V49" s="444">
        <f t="shared" si="21"/>
        <v>0</v>
      </c>
    </row>
    <row r="50" spans="1:22" x14ac:dyDescent="0.25">
      <c r="A50" s="152"/>
      <c r="B50" s="148">
        <v>34</v>
      </c>
      <c r="C50" s="154"/>
      <c r="D50" s="170"/>
      <c r="E50" s="165" t="s">
        <v>116</v>
      </c>
      <c r="F50" s="151">
        <f>SUM(F51+F54)</f>
        <v>11553.85</v>
      </c>
      <c r="G50" s="145">
        <f>AVERAGE(F50/F5*100)</f>
        <v>0.1512886241326582</v>
      </c>
      <c r="H50" s="449">
        <f>SUM(H51+H54)</f>
        <v>15500</v>
      </c>
      <c r="I50" s="145">
        <f>AVERAGE(H50/H5*100)</f>
        <v>0.14634871291500012</v>
      </c>
      <c r="J50" s="579">
        <f t="shared" si="4"/>
        <v>0</v>
      </c>
      <c r="K50" s="449">
        <f>SUM(K51+K54)</f>
        <v>15500</v>
      </c>
      <c r="L50" s="145">
        <f>AVERAGE(K50/K5*100)</f>
        <v>0.12329526399822836</v>
      </c>
      <c r="M50" s="146">
        <f t="shared" si="20"/>
        <v>100</v>
      </c>
      <c r="N50" s="605">
        <f t="shared" ref="N50:U50" si="25">SUM(N51+N54)</f>
        <v>0</v>
      </c>
      <c r="O50" s="606">
        <f t="shared" si="25"/>
        <v>900</v>
      </c>
      <c r="P50" s="606">
        <f t="shared" si="25"/>
        <v>14600</v>
      </c>
      <c r="Q50" s="606">
        <f t="shared" si="25"/>
        <v>0</v>
      </c>
      <c r="R50" s="606">
        <f t="shared" si="25"/>
        <v>0</v>
      </c>
      <c r="S50" s="607">
        <f t="shared" si="25"/>
        <v>0</v>
      </c>
      <c r="T50" s="608">
        <f t="shared" ref="T50" si="26">SUM(T51+T54)</f>
        <v>0</v>
      </c>
      <c r="U50" s="421">
        <f t="shared" si="25"/>
        <v>0</v>
      </c>
      <c r="V50" s="444">
        <f t="shared" si="21"/>
        <v>0</v>
      </c>
    </row>
    <row r="51" spans="1:22" hidden="1" x14ac:dyDescent="0.25">
      <c r="A51" s="152"/>
      <c r="B51" s="153"/>
      <c r="C51" s="154">
        <v>342</v>
      </c>
      <c r="D51" s="170"/>
      <c r="E51" s="168" t="s">
        <v>117</v>
      </c>
      <c r="F51" s="164">
        <f>SUM(F52:F53)</f>
        <v>0</v>
      </c>
      <c r="G51" s="158">
        <f>AVERAGE(F51/F45*100)</f>
        <v>0</v>
      </c>
      <c r="H51" s="450">
        <f>SUM(H52:H53)</f>
        <v>0</v>
      </c>
      <c r="I51" s="158">
        <f>AVERAGE(H51/H5*100)</f>
        <v>0</v>
      </c>
      <c r="J51" s="578">
        <f t="shared" si="4"/>
        <v>0</v>
      </c>
      <c r="K51" s="450">
        <f>SUM(K52:K53)</f>
        <v>0</v>
      </c>
      <c r="L51" s="158">
        <f>AVERAGE(K51/K5*100)</f>
        <v>0</v>
      </c>
      <c r="M51" s="159" t="e">
        <f t="shared" si="20"/>
        <v>#DIV/0!</v>
      </c>
      <c r="N51" s="419">
        <f t="shared" ref="N51:U51" si="27">SUM(N52:N53)</f>
        <v>0</v>
      </c>
      <c r="O51" s="410">
        <f t="shared" si="27"/>
        <v>0</v>
      </c>
      <c r="P51" s="410">
        <f t="shared" si="27"/>
        <v>0</v>
      </c>
      <c r="Q51" s="410">
        <f t="shared" si="27"/>
        <v>0</v>
      </c>
      <c r="R51" s="410">
        <f t="shared" si="27"/>
        <v>0</v>
      </c>
      <c r="S51" s="413">
        <f t="shared" si="27"/>
        <v>0</v>
      </c>
      <c r="T51" s="557">
        <f t="shared" ref="T51" si="28">SUM(T52:T53)</f>
        <v>0</v>
      </c>
      <c r="U51" s="413">
        <f t="shared" si="27"/>
        <v>0</v>
      </c>
      <c r="V51" s="444">
        <f t="shared" si="21"/>
        <v>0</v>
      </c>
    </row>
    <row r="52" spans="1:22" ht="22.5" hidden="1" customHeight="1" x14ac:dyDescent="0.25">
      <c r="A52" s="152"/>
      <c r="B52" s="160"/>
      <c r="C52" s="154"/>
      <c r="D52" s="167" t="s">
        <v>118</v>
      </c>
      <c r="E52" s="171" t="s">
        <v>119</v>
      </c>
      <c r="F52" s="162"/>
      <c r="G52" s="158">
        <f>AVERAGE(F52/F45*100)</f>
        <v>0</v>
      </c>
      <c r="H52" s="162"/>
      <c r="I52" s="158">
        <f>AVERAGE(H52/H5*100)</f>
        <v>0</v>
      </c>
      <c r="J52" s="578">
        <f t="shared" si="4"/>
        <v>0</v>
      </c>
      <c r="K52" s="162"/>
      <c r="L52" s="158">
        <f>AVERAGE(K52/K5*100)</f>
        <v>0</v>
      </c>
      <c r="M52" s="159" t="e">
        <f t="shared" si="20"/>
        <v>#DIV/0!</v>
      </c>
      <c r="N52" s="435"/>
      <c r="O52" s="411"/>
      <c r="P52" s="414"/>
      <c r="Q52" s="414"/>
      <c r="R52" s="414"/>
      <c r="S52" s="415"/>
      <c r="T52" s="558"/>
      <c r="U52" s="415"/>
      <c r="V52" s="444">
        <f t="shared" si="21"/>
        <v>0</v>
      </c>
    </row>
    <row r="53" spans="1:22" ht="25.5" hidden="1" customHeight="1" x14ac:dyDescent="0.25">
      <c r="A53" s="152"/>
      <c r="B53" s="160"/>
      <c r="C53" s="153"/>
      <c r="D53" s="167" t="s">
        <v>120</v>
      </c>
      <c r="E53" s="171" t="s">
        <v>121</v>
      </c>
      <c r="F53" s="157">
        <v>0</v>
      </c>
      <c r="G53" s="158">
        <f>AVERAGE(F53/F5*100)</f>
        <v>0</v>
      </c>
      <c r="H53" s="162"/>
      <c r="I53" s="158">
        <f>AVERAGE(H53/H5*100)</f>
        <v>0</v>
      </c>
      <c r="J53" s="578">
        <f t="shared" si="4"/>
        <v>0</v>
      </c>
      <c r="K53" s="162"/>
      <c r="L53" s="158">
        <f>AVERAGE(K53/K5*100)</f>
        <v>0</v>
      </c>
      <c r="M53" s="159" t="e">
        <f t="shared" si="20"/>
        <v>#DIV/0!</v>
      </c>
      <c r="N53" s="419"/>
      <c r="O53" s="411"/>
      <c r="P53" s="410"/>
      <c r="Q53" s="410"/>
      <c r="R53" s="410"/>
      <c r="S53" s="413"/>
      <c r="T53" s="557"/>
      <c r="U53" s="413"/>
      <c r="V53" s="444">
        <f t="shared" si="21"/>
        <v>0</v>
      </c>
    </row>
    <row r="54" spans="1:22" x14ac:dyDescent="0.25">
      <c r="A54" s="152"/>
      <c r="B54" s="160"/>
      <c r="C54" s="154">
        <v>343</v>
      </c>
      <c r="D54" s="155"/>
      <c r="E54" s="161" t="s">
        <v>122</v>
      </c>
      <c r="F54" s="157">
        <f>SUM(F55+F56+F57)</f>
        <v>11553.85</v>
      </c>
      <c r="G54" s="158">
        <f>AVERAGE(F54/F5*100)</f>
        <v>0.1512886241326582</v>
      </c>
      <c r="H54" s="162">
        <f>SUM(H55+H56+H57)</f>
        <v>15500</v>
      </c>
      <c r="I54" s="158">
        <f>AVERAGE(H54/H5*100)</f>
        <v>0.14634871291500012</v>
      </c>
      <c r="J54" s="578">
        <f t="shared" si="4"/>
        <v>0</v>
      </c>
      <c r="K54" s="162">
        <f>SUM(K55+K56+K57)</f>
        <v>15500</v>
      </c>
      <c r="L54" s="158">
        <f>AVERAGE(K54/K5*100)</f>
        <v>0.12329526399822836</v>
      </c>
      <c r="M54" s="159">
        <f t="shared" si="20"/>
        <v>100</v>
      </c>
      <c r="N54" s="591">
        <f t="shared" ref="N54:U54" si="29">SUM(N55+N56+N57)</f>
        <v>0</v>
      </c>
      <c r="O54" s="411">
        <f t="shared" si="29"/>
        <v>900</v>
      </c>
      <c r="P54" s="411">
        <f t="shared" si="29"/>
        <v>14600</v>
      </c>
      <c r="Q54" s="411">
        <f t="shared" si="29"/>
        <v>0</v>
      </c>
      <c r="R54" s="414">
        <f t="shared" si="29"/>
        <v>0</v>
      </c>
      <c r="S54" s="415">
        <f t="shared" si="29"/>
        <v>0</v>
      </c>
      <c r="T54" s="558">
        <f t="shared" ref="T54" si="30">SUM(T55+T56+T57)</f>
        <v>0</v>
      </c>
      <c r="U54" s="415">
        <f t="shared" si="29"/>
        <v>0</v>
      </c>
      <c r="V54" s="444">
        <f t="shared" si="21"/>
        <v>0</v>
      </c>
    </row>
    <row r="55" spans="1:22" ht="15" customHeight="1" x14ac:dyDescent="0.25">
      <c r="A55" s="152"/>
      <c r="B55" s="160"/>
      <c r="C55" s="153"/>
      <c r="D55" s="173">
        <v>3431</v>
      </c>
      <c r="E55" s="172" t="s">
        <v>123</v>
      </c>
      <c r="F55" s="162">
        <v>9605.76</v>
      </c>
      <c r="G55" s="158">
        <f>AVERAGE(F55/F5*100)</f>
        <v>0.12577991008612047</v>
      </c>
      <c r="H55" s="162">
        <v>14500</v>
      </c>
      <c r="I55" s="158">
        <f>AVERAGE(H55/H5*100)</f>
        <v>0.13690686046887104</v>
      </c>
      <c r="J55" s="578">
        <f t="shared" si="4"/>
        <v>0</v>
      </c>
      <c r="K55" s="162">
        <v>14500</v>
      </c>
      <c r="L55" s="158">
        <f>AVERAGE(K55/K5*100)</f>
        <v>0.11534073083705235</v>
      </c>
      <c r="M55" s="159">
        <f t="shared" si="20"/>
        <v>100</v>
      </c>
      <c r="N55" s="594"/>
      <c r="O55" s="417"/>
      <c r="P55" s="417">
        <v>14500</v>
      </c>
      <c r="Q55" s="417"/>
      <c r="R55" s="416"/>
      <c r="S55" s="418"/>
      <c r="T55" s="559"/>
      <c r="U55" s="418"/>
      <c r="V55" s="444">
        <f t="shared" si="21"/>
        <v>0</v>
      </c>
    </row>
    <row r="56" spans="1:22" ht="13.5" customHeight="1" x14ac:dyDescent="0.25">
      <c r="A56" s="152"/>
      <c r="B56" s="160"/>
      <c r="C56" s="160"/>
      <c r="D56" s="173">
        <v>3432</v>
      </c>
      <c r="E56" s="172" t="s">
        <v>124</v>
      </c>
      <c r="F56" s="162">
        <v>176.24</v>
      </c>
      <c r="G56" s="158">
        <f>AVERAGE(F56/F5*100)</f>
        <v>2.3077248810690534E-3</v>
      </c>
      <c r="H56" s="162">
        <v>500</v>
      </c>
      <c r="I56" s="158">
        <f>AVERAGE(H56/H5*100)</f>
        <v>4.7209262230645194E-3</v>
      </c>
      <c r="J56" s="578">
        <f t="shared" si="4"/>
        <v>0</v>
      </c>
      <c r="K56" s="162">
        <v>500</v>
      </c>
      <c r="L56" s="158">
        <f>AVERAGE(K56/K5*100)</f>
        <v>3.9772665805880118E-3</v>
      </c>
      <c r="M56" s="159">
        <f t="shared" si="20"/>
        <v>100</v>
      </c>
      <c r="N56" s="594"/>
      <c r="O56" s="411">
        <v>500</v>
      </c>
      <c r="P56" s="417"/>
      <c r="Q56" s="417"/>
      <c r="R56" s="416"/>
      <c r="S56" s="418"/>
      <c r="T56" s="559"/>
      <c r="U56" s="418"/>
      <c r="V56" s="444">
        <f t="shared" si="21"/>
        <v>0</v>
      </c>
    </row>
    <row r="57" spans="1:22" ht="15" customHeight="1" x14ac:dyDescent="0.25">
      <c r="A57" s="152"/>
      <c r="B57" s="163"/>
      <c r="C57" s="163"/>
      <c r="D57" s="180">
        <v>3433</v>
      </c>
      <c r="E57" s="181" t="s">
        <v>131</v>
      </c>
      <c r="F57" s="183">
        <v>1771.85</v>
      </c>
      <c r="G57" s="158">
        <f>AVERAGE(F57/F5*100)</f>
        <v>2.3200989165468686E-2</v>
      </c>
      <c r="H57" s="183">
        <v>500</v>
      </c>
      <c r="I57" s="158">
        <f>AVERAGE(H57/H5*100)</f>
        <v>4.7209262230645194E-3</v>
      </c>
      <c r="J57" s="577">
        <f t="shared" si="4"/>
        <v>0</v>
      </c>
      <c r="K57" s="183">
        <v>500</v>
      </c>
      <c r="L57" s="158">
        <f>AVERAGE(K57/K5*100)</f>
        <v>3.9772665805880118E-3</v>
      </c>
      <c r="M57" s="159">
        <f t="shared" si="20"/>
        <v>100</v>
      </c>
      <c r="N57" s="609"/>
      <c r="O57" s="411">
        <v>400</v>
      </c>
      <c r="P57" s="417">
        <v>100</v>
      </c>
      <c r="Q57" s="610"/>
      <c r="R57" s="424"/>
      <c r="S57" s="425"/>
      <c r="T57" s="562"/>
      <c r="U57" s="425"/>
      <c r="V57" s="444">
        <f t="shared" si="21"/>
        <v>0</v>
      </c>
    </row>
    <row r="58" spans="1:22" ht="19.5" customHeight="1" x14ac:dyDescent="0.25">
      <c r="A58" s="152"/>
      <c r="B58" s="174">
        <v>36</v>
      </c>
      <c r="C58" s="174"/>
      <c r="D58" s="187"/>
      <c r="E58" s="188" t="s">
        <v>201</v>
      </c>
      <c r="F58" s="189">
        <f>SUM(F59)</f>
        <v>7423.94</v>
      </c>
      <c r="G58" s="145" t="e">
        <f>AVERAGE(F58/F1*100)</f>
        <v>#DIV/0!</v>
      </c>
      <c r="H58" s="452">
        <f>SUM(H59)</f>
        <v>124800</v>
      </c>
      <c r="I58" s="158">
        <f>AVERAGE(H58/H5*100)</f>
        <v>1.178343185276904</v>
      </c>
      <c r="J58" s="577">
        <f t="shared" si="4"/>
        <v>-39800</v>
      </c>
      <c r="K58" s="452">
        <f>SUM(K59)</f>
        <v>85000</v>
      </c>
      <c r="L58" s="158">
        <f>AVERAGE(K58/K5*100)</f>
        <v>0.67613531869996202</v>
      </c>
      <c r="M58" s="159">
        <f t="shared" si="20"/>
        <v>68.108974358974365</v>
      </c>
      <c r="N58" s="611">
        <f>SUM(N59)</f>
        <v>0</v>
      </c>
      <c r="O58" s="612">
        <f t="shared" ref="O58:U59" si="31">SUM(O59)</f>
        <v>0</v>
      </c>
      <c r="P58" s="612">
        <f t="shared" si="31"/>
        <v>85000</v>
      </c>
      <c r="Q58" s="612">
        <f t="shared" si="31"/>
        <v>0</v>
      </c>
      <c r="R58" s="426">
        <f t="shared" si="31"/>
        <v>0</v>
      </c>
      <c r="S58" s="427">
        <f t="shared" si="31"/>
        <v>0</v>
      </c>
      <c r="T58" s="563">
        <f t="shared" si="31"/>
        <v>0</v>
      </c>
      <c r="U58" s="427">
        <f t="shared" si="31"/>
        <v>0</v>
      </c>
      <c r="V58" s="444">
        <f t="shared" si="21"/>
        <v>0</v>
      </c>
    </row>
    <row r="59" spans="1:22" ht="18" customHeight="1" x14ac:dyDescent="0.25">
      <c r="A59" s="152"/>
      <c r="B59" s="186"/>
      <c r="C59" s="163">
        <v>369</v>
      </c>
      <c r="D59" s="180"/>
      <c r="E59" s="181" t="s">
        <v>202</v>
      </c>
      <c r="F59" s="182">
        <f>SUM(F60)</f>
        <v>7423.94</v>
      </c>
      <c r="G59" s="158" t="e">
        <f>AVERAGE(F59/F1*100)</f>
        <v>#DIV/0!</v>
      </c>
      <c r="H59" s="453">
        <f>SUM(H60)</f>
        <v>124800</v>
      </c>
      <c r="I59" s="158">
        <f>AVERAGE(H59/H5*100)</f>
        <v>1.178343185276904</v>
      </c>
      <c r="J59" s="577">
        <f t="shared" si="4"/>
        <v>-39800</v>
      </c>
      <c r="K59" s="453">
        <f>SUM(K60)</f>
        <v>85000</v>
      </c>
      <c r="L59" s="158">
        <f>AVERAGE(K59/K5*100)</f>
        <v>0.67613531869996202</v>
      </c>
      <c r="M59" s="159">
        <f t="shared" si="20"/>
        <v>68.108974358974365</v>
      </c>
      <c r="N59" s="611">
        <f>SUM(N60)</f>
        <v>0</v>
      </c>
      <c r="O59" s="612">
        <f t="shared" si="31"/>
        <v>0</v>
      </c>
      <c r="P59" s="612">
        <f t="shared" si="31"/>
        <v>85000</v>
      </c>
      <c r="Q59" s="612">
        <f t="shared" si="31"/>
        <v>0</v>
      </c>
      <c r="R59" s="426">
        <f t="shared" si="31"/>
        <v>0</v>
      </c>
      <c r="S59" s="427">
        <f t="shared" si="31"/>
        <v>0</v>
      </c>
      <c r="T59" s="563">
        <f t="shared" si="31"/>
        <v>0</v>
      </c>
      <c r="U59" s="427">
        <f t="shared" si="31"/>
        <v>0</v>
      </c>
      <c r="V59" s="444">
        <f t="shared" si="21"/>
        <v>0</v>
      </c>
    </row>
    <row r="60" spans="1:22" ht="18" customHeight="1" x14ac:dyDescent="0.25">
      <c r="A60" s="152"/>
      <c r="B60" s="186"/>
      <c r="C60" s="174"/>
      <c r="D60" s="180">
        <v>3691</v>
      </c>
      <c r="E60" s="181" t="s">
        <v>203</v>
      </c>
      <c r="F60" s="182">
        <v>7423.94</v>
      </c>
      <c r="G60" s="158" t="e">
        <f>AVERAGE(F60/F1*100)</f>
        <v>#DIV/0!</v>
      </c>
      <c r="H60" s="453">
        <v>124800</v>
      </c>
      <c r="I60" s="158">
        <f>AVERAGE(H60/H5*100)</f>
        <v>1.178343185276904</v>
      </c>
      <c r="J60" s="577">
        <f>K60-H60</f>
        <v>-39800</v>
      </c>
      <c r="K60" s="453">
        <v>85000</v>
      </c>
      <c r="L60" s="158">
        <f>AVERAGE(K60/K5*100)</f>
        <v>0.67613531869996202</v>
      </c>
      <c r="M60" s="159">
        <f t="shared" si="20"/>
        <v>68.108974358974365</v>
      </c>
      <c r="N60" s="594"/>
      <c r="O60" s="417"/>
      <c r="P60" s="417">
        <f>124800-39800</f>
        <v>85000</v>
      </c>
      <c r="Q60" s="417"/>
      <c r="R60" s="416"/>
      <c r="S60" s="418"/>
      <c r="T60" s="559"/>
      <c r="U60" s="418"/>
      <c r="V60" s="444">
        <f t="shared" si="21"/>
        <v>0</v>
      </c>
    </row>
    <row r="61" spans="1:22" ht="19.5" customHeight="1" x14ac:dyDescent="0.25">
      <c r="A61" s="152"/>
      <c r="B61" s="174">
        <v>37</v>
      </c>
      <c r="C61" s="174"/>
      <c r="D61" s="187"/>
      <c r="E61" s="188" t="s">
        <v>184</v>
      </c>
      <c r="F61" s="189">
        <f>SUM(F62)</f>
        <v>0</v>
      </c>
      <c r="G61" s="145">
        <f>AVERAGE(F61/F5*100)</f>
        <v>0</v>
      </c>
      <c r="H61" s="452">
        <f>SUM(H62)</f>
        <v>2500</v>
      </c>
      <c r="I61" s="158">
        <f>AVERAGE(H61/H5*100)</f>
        <v>2.3604631115322596E-2</v>
      </c>
      <c r="J61" s="577">
        <f t="shared" si="4"/>
        <v>-2500</v>
      </c>
      <c r="K61" s="452">
        <f>SUM(K62)</f>
        <v>0</v>
      </c>
      <c r="L61" s="158">
        <f>AVERAGE(K61/K5*100)</f>
        <v>0</v>
      </c>
      <c r="M61" s="159">
        <f t="shared" si="20"/>
        <v>0</v>
      </c>
      <c r="N61" s="611">
        <f>SUM(N62)</f>
        <v>0</v>
      </c>
      <c r="O61" s="612">
        <f t="shared" ref="O61:U61" si="32">SUM(O62)</f>
        <v>0</v>
      </c>
      <c r="P61" s="612">
        <f t="shared" si="32"/>
        <v>0</v>
      </c>
      <c r="Q61" s="612">
        <f t="shared" si="32"/>
        <v>0</v>
      </c>
      <c r="R61" s="426">
        <f t="shared" si="32"/>
        <v>0</v>
      </c>
      <c r="S61" s="427">
        <f t="shared" si="32"/>
        <v>0</v>
      </c>
      <c r="T61" s="563">
        <f t="shared" si="32"/>
        <v>0</v>
      </c>
      <c r="U61" s="427">
        <f t="shared" si="32"/>
        <v>0</v>
      </c>
      <c r="V61" s="444">
        <f t="shared" si="21"/>
        <v>0</v>
      </c>
    </row>
    <row r="62" spans="1:22" ht="18" customHeight="1" x14ac:dyDescent="0.25">
      <c r="A62" s="152"/>
      <c r="B62" s="186"/>
      <c r="C62" s="163">
        <v>372</v>
      </c>
      <c r="D62" s="180"/>
      <c r="E62" s="181" t="s">
        <v>185</v>
      </c>
      <c r="F62" s="182">
        <f>SUM(F63)</f>
        <v>0</v>
      </c>
      <c r="G62" s="158">
        <f>AVERAGE(F62/F5*100)</f>
        <v>0</v>
      </c>
      <c r="H62" s="453">
        <f>SUM(H63)</f>
        <v>2500</v>
      </c>
      <c r="I62" s="158">
        <f>AVERAGE(H62/H5*100)</f>
        <v>2.3604631115322596E-2</v>
      </c>
      <c r="J62" s="577">
        <f t="shared" si="4"/>
        <v>-2500</v>
      </c>
      <c r="K62" s="453">
        <f>SUM(K63)</f>
        <v>0</v>
      </c>
      <c r="L62" s="158">
        <f>AVERAGE(K62/K5*100)</f>
        <v>0</v>
      </c>
      <c r="M62" s="159">
        <f t="shared" si="20"/>
        <v>0</v>
      </c>
      <c r="N62" s="611">
        <f>SUM(N63)</f>
        <v>0</v>
      </c>
      <c r="O62" s="612">
        <f t="shared" ref="O62:U62" si="33">SUM(O63)</f>
        <v>0</v>
      </c>
      <c r="P62" s="612">
        <f t="shared" si="33"/>
        <v>0</v>
      </c>
      <c r="Q62" s="612">
        <f t="shared" si="33"/>
        <v>0</v>
      </c>
      <c r="R62" s="426">
        <f t="shared" si="33"/>
        <v>0</v>
      </c>
      <c r="S62" s="427">
        <f t="shared" si="33"/>
        <v>0</v>
      </c>
      <c r="T62" s="563">
        <f t="shared" si="33"/>
        <v>0</v>
      </c>
      <c r="U62" s="427">
        <f t="shared" si="33"/>
        <v>0</v>
      </c>
      <c r="V62" s="444">
        <f t="shared" si="21"/>
        <v>0</v>
      </c>
    </row>
    <row r="63" spans="1:22" ht="18" customHeight="1" x14ac:dyDescent="0.25">
      <c r="A63" s="152"/>
      <c r="B63" s="186"/>
      <c r="C63" s="174"/>
      <c r="D63" s="180">
        <v>3721</v>
      </c>
      <c r="E63" s="181" t="s">
        <v>186</v>
      </c>
      <c r="F63" s="182">
        <v>0</v>
      </c>
      <c r="G63" s="158">
        <f>AVERAGE(F63/F5*100)</f>
        <v>0</v>
      </c>
      <c r="H63" s="453">
        <v>2500</v>
      </c>
      <c r="I63" s="158">
        <f>AVERAGE(H63/H5*100)</f>
        <v>2.3604631115322596E-2</v>
      </c>
      <c r="J63" s="577">
        <f t="shared" si="4"/>
        <v>-2500</v>
      </c>
      <c r="K63" s="453">
        <v>0</v>
      </c>
      <c r="L63" s="158">
        <f>AVERAGE(K63/K5*100)</f>
        <v>0</v>
      </c>
      <c r="M63" s="159">
        <f t="shared" si="20"/>
        <v>0</v>
      </c>
      <c r="N63" s="594"/>
      <c r="O63" s="417">
        <f>1*K63</f>
        <v>0</v>
      </c>
      <c r="P63" s="417"/>
      <c r="Q63" s="417"/>
      <c r="R63" s="416"/>
      <c r="S63" s="418"/>
      <c r="T63" s="559"/>
      <c r="U63" s="418"/>
      <c r="V63" s="444">
        <f t="shared" si="21"/>
        <v>0</v>
      </c>
    </row>
    <row r="64" spans="1:22" ht="15" customHeight="1" x14ac:dyDescent="0.25">
      <c r="A64" s="152"/>
      <c r="B64" s="148">
        <v>38</v>
      </c>
      <c r="C64" s="148"/>
      <c r="D64" s="149"/>
      <c r="E64" s="184" t="s">
        <v>125</v>
      </c>
      <c r="F64" s="185">
        <f>SUM(F65+F68)</f>
        <v>0</v>
      </c>
      <c r="G64" s="145">
        <f>AVERAGE(F64/F5*100)</f>
        <v>0</v>
      </c>
      <c r="H64" s="454">
        <f>SUM(H65+H68)</f>
        <v>500</v>
      </c>
      <c r="I64" s="145">
        <f>AVERAGE(H64/H5*100)</f>
        <v>4.7209262230645194E-3</v>
      </c>
      <c r="J64" s="579">
        <f t="shared" si="4"/>
        <v>0</v>
      </c>
      <c r="K64" s="454">
        <f>SUM(K65+K68)</f>
        <v>500</v>
      </c>
      <c r="L64" s="145">
        <f>AVERAGE(K64/K5*100)</f>
        <v>3.9772665805880118E-3</v>
      </c>
      <c r="M64" s="146">
        <f t="shared" si="20"/>
        <v>100</v>
      </c>
      <c r="N64" s="439">
        <f>SUM(N65+N68)</f>
        <v>0</v>
      </c>
      <c r="O64" s="426">
        <f t="shared" ref="O64:U64" si="34">SUM(O65+O68)</f>
        <v>500</v>
      </c>
      <c r="P64" s="426">
        <f t="shared" si="34"/>
        <v>0</v>
      </c>
      <c r="Q64" s="426">
        <f t="shared" si="34"/>
        <v>0</v>
      </c>
      <c r="R64" s="426">
        <f t="shared" si="34"/>
        <v>0</v>
      </c>
      <c r="S64" s="427">
        <f t="shared" si="34"/>
        <v>0</v>
      </c>
      <c r="T64" s="563">
        <f t="shared" ref="T64" si="35">SUM(T65+T68)</f>
        <v>0</v>
      </c>
      <c r="U64" s="427">
        <f t="shared" si="34"/>
        <v>0</v>
      </c>
      <c r="V64" s="444">
        <f t="shared" si="21"/>
        <v>0</v>
      </c>
    </row>
    <row r="65" spans="1:22" ht="15.75" hidden="1" customHeight="1" x14ac:dyDescent="0.25">
      <c r="A65" s="152"/>
      <c r="B65" s="160"/>
      <c r="C65" s="163">
        <v>381</v>
      </c>
      <c r="D65" s="180"/>
      <c r="E65" s="181" t="s">
        <v>126</v>
      </c>
      <c r="F65" s="182">
        <f>SUM(F66:F67)</f>
        <v>0</v>
      </c>
      <c r="G65" s="158">
        <f>AVERAGE(F65/F5*100)</f>
        <v>0</v>
      </c>
      <c r="H65" s="453">
        <f>SUM(H66:H67)</f>
        <v>0</v>
      </c>
      <c r="I65" s="158">
        <f>AVERAGE(H65/H5*100)</f>
        <v>0</v>
      </c>
      <c r="J65" s="577">
        <f t="shared" si="4"/>
        <v>0</v>
      </c>
      <c r="K65" s="453">
        <f>SUM(K66:K67)</f>
        <v>0</v>
      </c>
      <c r="L65" s="158">
        <f>AVERAGE(K65/K5*100)</f>
        <v>0</v>
      </c>
      <c r="M65" s="159" t="e">
        <f t="shared" si="20"/>
        <v>#DIV/0!</v>
      </c>
      <c r="N65" s="439">
        <f>SUM(N66)</f>
        <v>0</v>
      </c>
      <c r="O65" s="426">
        <f t="shared" ref="O65:U65" si="36">SUM(O66)</f>
        <v>0</v>
      </c>
      <c r="P65" s="426">
        <f t="shared" si="36"/>
        <v>0</v>
      </c>
      <c r="Q65" s="426">
        <f t="shared" si="36"/>
        <v>0</v>
      </c>
      <c r="R65" s="426">
        <f t="shared" si="36"/>
        <v>0</v>
      </c>
      <c r="S65" s="427">
        <f t="shared" si="36"/>
        <v>0</v>
      </c>
      <c r="T65" s="563">
        <f t="shared" si="36"/>
        <v>0</v>
      </c>
      <c r="U65" s="427">
        <f t="shared" si="36"/>
        <v>0</v>
      </c>
      <c r="V65" s="444">
        <f t="shared" si="21"/>
        <v>0</v>
      </c>
    </row>
    <row r="66" spans="1:22" ht="15" hidden="1" customHeight="1" x14ac:dyDescent="0.25">
      <c r="A66" s="152"/>
      <c r="B66" s="160"/>
      <c r="C66" s="160"/>
      <c r="D66" s="155">
        <v>3811</v>
      </c>
      <c r="E66" s="190" t="s">
        <v>127</v>
      </c>
      <c r="F66" s="162"/>
      <c r="G66" s="158">
        <f>AVERAGE(F66/F5*100)</f>
        <v>0</v>
      </c>
      <c r="H66" s="162"/>
      <c r="I66" s="158">
        <f>AVERAGE(H66/H5*100)</f>
        <v>0</v>
      </c>
      <c r="J66" s="578">
        <f t="shared" si="4"/>
        <v>0</v>
      </c>
      <c r="K66" s="162"/>
      <c r="L66" s="158">
        <f>AVERAGE(K66/K5*100)</f>
        <v>0</v>
      </c>
      <c r="M66" s="159" t="e">
        <f t="shared" si="20"/>
        <v>#DIV/0!</v>
      </c>
      <c r="N66" s="436"/>
      <c r="O66" s="416"/>
      <c r="P66" s="416"/>
      <c r="Q66" s="416"/>
      <c r="R66" s="416"/>
      <c r="S66" s="418"/>
      <c r="T66" s="559"/>
      <c r="U66" s="418"/>
      <c r="V66" s="444">
        <f t="shared" si="21"/>
        <v>0</v>
      </c>
    </row>
    <row r="67" spans="1:22" ht="15" hidden="1" customHeight="1" x14ac:dyDescent="0.25">
      <c r="A67" s="152"/>
      <c r="B67" s="160"/>
      <c r="C67" s="160"/>
      <c r="D67" s="180">
        <v>3812</v>
      </c>
      <c r="E67" s="181" t="s">
        <v>200</v>
      </c>
      <c r="F67" s="183"/>
      <c r="G67" s="158">
        <f>AVERAGE(F67/F5*100)</f>
        <v>0</v>
      </c>
      <c r="H67" s="183"/>
      <c r="I67" s="158">
        <f>AVERAGE(H67/H5*100)</f>
        <v>0</v>
      </c>
      <c r="J67" s="577">
        <f t="shared" si="4"/>
        <v>0</v>
      </c>
      <c r="K67" s="183"/>
      <c r="L67" s="158">
        <f>AVERAGE(K67/K5*100)</f>
        <v>0</v>
      </c>
      <c r="M67" s="159" t="e">
        <f t="shared" si="20"/>
        <v>#DIV/0!</v>
      </c>
      <c r="N67" s="428"/>
      <c r="O67" s="422"/>
      <c r="P67" s="422"/>
      <c r="Q67" s="422"/>
      <c r="R67" s="422"/>
      <c r="S67" s="423"/>
      <c r="T67" s="564"/>
      <c r="U67" s="423"/>
      <c r="V67" s="444">
        <f t="shared" si="21"/>
        <v>0</v>
      </c>
    </row>
    <row r="68" spans="1:22" ht="15" customHeight="1" x14ac:dyDescent="0.25">
      <c r="A68" s="152"/>
      <c r="B68" s="160"/>
      <c r="C68" s="163">
        <v>383</v>
      </c>
      <c r="D68" s="180"/>
      <c r="E68" s="181" t="s">
        <v>128</v>
      </c>
      <c r="F68" s="182">
        <f>SUM(F69:F72)</f>
        <v>0</v>
      </c>
      <c r="G68" s="158">
        <f>AVERAGE(F68/F5*100)</f>
        <v>0</v>
      </c>
      <c r="H68" s="453">
        <f>SUM(H69:H72)</f>
        <v>500</v>
      </c>
      <c r="I68" s="158">
        <f>AVERAGE(H68/H5*100)</f>
        <v>4.7209262230645194E-3</v>
      </c>
      <c r="J68" s="577">
        <f t="shared" si="4"/>
        <v>0</v>
      </c>
      <c r="K68" s="453">
        <f>SUM(K69:K72)</f>
        <v>500</v>
      </c>
      <c r="L68" s="158">
        <f>AVERAGE(K68/K5*100)</f>
        <v>3.9772665805880118E-3</v>
      </c>
      <c r="M68" s="159">
        <f t="shared" si="20"/>
        <v>100</v>
      </c>
      <c r="N68" s="428">
        <f>SUM(N69:N72)</f>
        <v>0</v>
      </c>
      <c r="O68" s="422">
        <v>500</v>
      </c>
      <c r="P68" s="422">
        <f t="shared" ref="P68:U68" si="37">SUM(P69:P72)</f>
        <v>0</v>
      </c>
      <c r="Q68" s="422">
        <f t="shared" si="37"/>
        <v>0</v>
      </c>
      <c r="R68" s="422">
        <f t="shared" si="37"/>
        <v>0</v>
      </c>
      <c r="S68" s="423">
        <f t="shared" si="37"/>
        <v>0</v>
      </c>
      <c r="T68" s="564">
        <f t="shared" ref="T68" si="38">SUM(T69:T72)</f>
        <v>0</v>
      </c>
      <c r="U68" s="423">
        <f t="shared" si="37"/>
        <v>0</v>
      </c>
      <c r="V68" s="444">
        <f t="shared" si="21"/>
        <v>0</v>
      </c>
    </row>
    <row r="69" spans="1:22" ht="15" hidden="1" customHeight="1" x14ac:dyDescent="0.25">
      <c r="A69" s="152"/>
      <c r="B69" s="160"/>
      <c r="C69" s="160"/>
      <c r="D69" s="155">
        <v>3831</v>
      </c>
      <c r="E69" s="190" t="s">
        <v>129</v>
      </c>
      <c r="F69" s="162">
        <v>0</v>
      </c>
      <c r="G69" s="158">
        <f>AVERAGE(F69/F5*100)</f>
        <v>0</v>
      </c>
      <c r="H69" s="162">
        <v>0</v>
      </c>
      <c r="I69" s="158">
        <f>AVERAGE(H69/H5*100)</f>
        <v>0</v>
      </c>
      <c r="J69" s="578">
        <f t="shared" si="4"/>
        <v>0</v>
      </c>
      <c r="K69" s="162">
        <v>0</v>
      </c>
      <c r="L69" s="158">
        <f>AVERAGE(K69/K5*100)</f>
        <v>0</v>
      </c>
      <c r="M69" s="159" t="e">
        <f t="shared" si="20"/>
        <v>#DIV/0!</v>
      </c>
      <c r="N69" s="428"/>
      <c r="O69" s="422"/>
      <c r="P69" s="422"/>
      <c r="Q69" s="422"/>
      <c r="R69" s="422"/>
      <c r="S69" s="423"/>
      <c r="T69" s="564"/>
      <c r="U69" s="423"/>
      <c r="V69" s="444">
        <f t="shared" ref="V69:V90" si="39">K69-SUM(N69:U69)</f>
        <v>0</v>
      </c>
    </row>
    <row r="70" spans="1:22" ht="15" hidden="1" customHeight="1" thickBot="1" x14ac:dyDescent="0.3">
      <c r="A70" s="152"/>
      <c r="B70" s="160"/>
      <c r="C70" s="160"/>
      <c r="D70" s="155">
        <v>3833</v>
      </c>
      <c r="E70" s="190" t="s">
        <v>132</v>
      </c>
      <c r="F70" s="162"/>
      <c r="G70" s="158">
        <f>AVERAGE(F70/F5*100)</f>
        <v>0</v>
      </c>
      <c r="H70" s="162"/>
      <c r="I70" s="158">
        <f>AVERAGE(H70/H5*100)</f>
        <v>0</v>
      </c>
      <c r="J70" s="578">
        <f t="shared" ref="J70:J72" si="40">K70-H70</f>
        <v>0</v>
      </c>
      <c r="K70" s="162"/>
      <c r="L70" s="158">
        <f>AVERAGE(K70/K5*100)</f>
        <v>0</v>
      </c>
      <c r="M70" s="159"/>
      <c r="N70" s="428"/>
      <c r="O70" s="411"/>
      <c r="P70" s="422"/>
      <c r="Q70" s="422"/>
      <c r="R70" s="422"/>
      <c r="S70" s="423"/>
      <c r="T70" s="564"/>
      <c r="U70" s="423"/>
      <c r="V70" s="444">
        <f t="shared" si="39"/>
        <v>0</v>
      </c>
    </row>
    <row r="71" spans="1:22" ht="15" hidden="1" customHeight="1" thickBot="1" x14ac:dyDescent="0.3">
      <c r="A71" s="152"/>
      <c r="B71" s="160"/>
      <c r="C71" s="160"/>
      <c r="D71" s="177">
        <v>3834</v>
      </c>
      <c r="E71" s="178" t="s">
        <v>130</v>
      </c>
      <c r="F71" s="179"/>
      <c r="G71" s="374">
        <f>AVERAGE(F71/F5*100)</f>
        <v>0</v>
      </c>
      <c r="H71" s="179"/>
      <c r="I71" s="374">
        <f>AVERAGE(H71/H5*100)</f>
        <v>0</v>
      </c>
      <c r="J71" s="582">
        <f t="shared" si="40"/>
        <v>0</v>
      </c>
      <c r="K71" s="179"/>
      <c r="L71" s="374">
        <f>AVERAGE(K71/K5*100)</f>
        <v>0</v>
      </c>
      <c r="M71" s="375" t="e">
        <f>AVERAGE(K71/H71)*100</f>
        <v>#DIV/0!</v>
      </c>
      <c r="N71" s="428"/>
      <c r="O71" s="411"/>
      <c r="P71" s="422"/>
      <c r="Q71" s="422"/>
      <c r="R71" s="422"/>
      <c r="S71" s="423"/>
      <c r="T71" s="564"/>
      <c r="U71" s="423"/>
      <c r="V71" s="444">
        <f t="shared" si="39"/>
        <v>0</v>
      </c>
    </row>
    <row r="72" spans="1:22" ht="15" customHeight="1" thickBot="1" x14ac:dyDescent="0.3">
      <c r="A72" s="532"/>
      <c r="B72" s="209"/>
      <c r="C72" s="209"/>
      <c r="D72" s="533">
        <v>3835</v>
      </c>
      <c r="E72" s="534" t="s">
        <v>188</v>
      </c>
      <c r="F72" s="370">
        <v>0</v>
      </c>
      <c r="G72" s="210">
        <f>AVERAGE(F72/F6*100)</f>
        <v>0</v>
      </c>
      <c r="H72" s="370">
        <v>500</v>
      </c>
      <c r="I72" s="210">
        <f>AVERAGE(H72/H5*100)</f>
        <v>4.7209262230645194E-3</v>
      </c>
      <c r="J72" s="581">
        <f t="shared" si="40"/>
        <v>0</v>
      </c>
      <c r="K72" s="370">
        <v>500</v>
      </c>
      <c r="L72" s="210">
        <f>AVERAGE(K72/K5*100)</f>
        <v>3.9772665805880118E-3</v>
      </c>
      <c r="M72" s="211">
        <f>AVERAGE(K72/H72)*100</f>
        <v>100</v>
      </c>
      <c r="N72" s="489"/>
      <c r="O72" s="420">
        <v>500</v>
      </c>
      <c r="P72" s="490"/>
      <c r="Q72" s="490"/>
      <c r="R72" s="490"/>
      <c r="S72" s="491"/>
      <c r="T72" s="565"/>
      <c r="U72" s="491"/>
      <c r="V72" s="485">
        <f t="shared" si="39"/>
        <v>0</v>
      </c>
    </row>
    <row r="73" spans="1:22" ht="85.5" thickTop="1" thickBot="1" x14ac:dyDescent="0.3">
      <c r="A73" s="522" t="s">
        <v>15</v>
      </c>
      <c r="B73" s="523" t="s">
        <v>16</v>
      </c>
      <c r="C73" s="523" t="s">
        <v>17</v>
      </c>
      <c r="D73" s="523" t="s">
        <v>71</v>
      </c>
      <c r="E73" s="524" t="s">
        <v>72</v>
      </c>
      <c r="F73" s="132" t="s">
        <v>253</v>
      </c>
      <c r="G73" s="131" t="s">
        <v>183</v>
      </c>
      <c r="H73" s="447" t="s">
        <v>240</v>
      </c>
      <c r="I73" s="133" t="s">
        <v>183</v>
      </c>
      <c r="J73" s="133" t="s">
        <v>251</v>
      </c>
      <c r="K73" s="447" t="s">
        <v>255</v>
      </c>
      <c r="L73" s="525" t="s">
        <v>183</v>
      </c>
      <c r="M73" s="526" t="s">
        <v>244</v>
      </c>
      <c r="N73" s="527" t="s">
        <v>28</v>
      </c>
      <c r="O73" s="528" t="s">
        <v>194</v>
      </c>
      <c r="P73" s="529" t="s">
        <v>195</v>
      </c>
      <c r="Q73" s="529" t="s">
        <v>196</v>
      </c>
      <c r="R73" s="530" t="s">
        <v>197</v>
      </c>
      <c r="S73" s="572" t="s">
        <v>199</v>
      </c>
      <c r="T73" s="566" t="s">
        <v>198</v>
      </c>
      <c r="U73" s="531" t="s">
        <v>230</v>
      </c>
      <c r="V73" s="444" t="e">
        <f t="shared" si="39"/>
        <v>#VALUE!</v>
      </c>
    </row>
    <row r="74" spans="1:22" ht="15.75" customHeight="1" thickTop="1" thickBot="1" x14ac:dyDescent="0.3">
      <c r="A74" s="191">
        <v>4</v>
      </c>
      <c r="B74" s="192"/>
      <c r="C74" s="192"/>
      <c r="D74" s="193"/>
      <c r="E74" s="194" t="s">
        <v>133</v>
      </c>
      <c r="F74" s="195">
        <f>SUM(F78+F103)</f>
        <v>263801.02</v>
      </c>
      <c r="G74" s="196">
        <f>AVERAGE(F74/F74*100)</f>
        <v>100</v>
      </c>
      <c r="H74" s="455">
        <f>SUM(H78+H103)</f>
        <v>474730</v>
      </c>
      <c r="I74" s="196">
        <f>AVERAGE(H74/H74*100)</f>
        <v>100</v>
      </c>
      <c r="J74" s="583">
        <f t="shared" ref="J74:J109" si="41">K74-H74</f>
        <v>-24235</v>
      </c>
      <c r="K74" s="455">
        <f>SUM(K78+K103)</f>
        <v>450495</v>
      </c>
      <c r="L74" s="196">
        <f>AVERAGE(K74/K74*100)</f>
        <v>100</v>
      </c>
      <c r="M74" s="197">
        <f t="shared" ref="M74:M99" si="42">AVERAGE(K74/H74)*100</f>
        <v>94.894992943357281</v>
      </c>
      <c r="N74" s="440">
        <f t="shared" ref="N74" si="43">SUM(N78+N100)</f>
        <v>0</v>
      </c>
      <c r="O74" s="429">
        <f>SUM(O78+O103)</f>
        <v>209165</v>
      </c>
      <c r="P74" s="429">
        <f>SUM(P78+P103)</f>
        <v>102950</v>
      </c>
      <c r="Q74" s="429">
        <f t="shared" ref="Q74:U74" si="44">SUM(Q78+Q103)</f>
        <v>0</v>
      </c>
      <c r="R74" s="429">
        <f t="shared" si="44"/>
        <v>62100</v>
      </c>
      <c r="S74" s="573">
        <f t="shared" si="44"/>
        <v>56680</v>
      </c>
      <c r="T74" s="567">
        <f t="shared" ref="T74" si="45">SUM(T78+T103)</f>
        <v>19600</v>
      </c>
      <c r="U74" s="429">
        <f t="shared" si="44"/>
        <v>0</v>
      </c>
      <c r="V74" s="444">
        <f t="shared" si="39"/>
        <v>0</v>
      </c>
    </row>
    <row r="75" spans="1:22" ht="15.75" thickTop="1" x14ac:dyDescent="0.25">
      <c r="A75" s="152"/>
      <c r="B75" s="174">
        <v>41</v>
      </c>
      <c r="C75" s="174"/>
      <c r="D75" s="198"/>
      <c r="E75" s="199" t="s">
        <v>134</v>
      </c>
      <c r="F75" s="201"/>
      <c r="G75" s="200">
        <f t="shared" ref="G75" si="46">AVERAGE(F75/F74*100)</f>
        <v>0</v>
      </c>
      <c r="H75" s="456"/>
      <c r="I75" s="200">
        <f t="shared" ref="I75" si="47">AVERAGE(H75/H74*100)</f>
        <v>0</v>
      </c>
      <c r="J75" s="577">
        <f t="shared" si="41"/>
        <v>0</v>
      </c>
      <c r="K75" s="456"/>
      <c r="L75" s="200">
        <f t="shared" ref="L75" si="48">AVERAGE(K75/K74*100)</f>
        <v>0</v>
      </c>
      <c r="M75" s="202"/>
      <c r="N75" s="435"/>
      <c r="O75" s="411"/>
      <c r="P75" s="414"/>
      <c r="Q75" s="414"/>
      <c r="R75" s="414"/>
      <c r="S75" s="415"/>
      <c r="T75" s="558"/>
      <c r="U75" s="415"/>
      <c r="V75" s="444">
        <f t="shared" si="39"/>
        <v>0</v>
      </c>
    </row>
    <row r="76" spans="1:22" x14ac:dyDescent="0.25">
      <c r="A76" s="152"/>
      <c r="B76" s="154"/>
      <c r="C76" s="154">
        <v>411</v>
      </c>
      <c r="D76" s="170"/>
      <c r="E76" s="166" t="s">
        <v>135</v>
      </c>
      <c r="F76" s="157"/>
      <c r="G76" s="158">
        <f>AVERAGE(F76/F74*100)</f>
        <v>0</v>
      </c>
      <c r="H76" s="162"/>
      <c r="I76" s="158"/>
      <c r="J76" s="578">
        <f t="shared" si="41"/>
        <v>0</v>
      </c>
      <c r="K76" s="162"/>
      <c r="L76" s="158">
        <f>AVERAGE(K76/K74*100)</f>
        <v>0</v>
      </c>
      <c r="M76" s="159"/>
      <c r="N76" s="436"/>
      <c r="O76" s="417"/>
      <c r="P76" s="416"/>
      <c r="Q76" s="416"/>
      <c r="R76" s="416"/>
      <c r="S76" s="418"/>
      <c r="T76" s="559"/>
      <c r="U76" s="418"/>
      <c r="V76" s="444">
        <f t="shared" si="39"/>
        <v>0</v>
      </c>
    </row>
    <row r="77" spans="1:22" x14ac:dyDescent="0.25">
      <c r="A77" s="152"/>
      <c r="B77" s="148"/>
      <c r="C77" s="148"/>
      <c r="D77" s="155">
        <v>4111</v>
      </c>
      <c r="E77" s="161" t="s">
        <v>136</v>
      </c>
      <c r="F77" s="162"/>
      <c r="G77" s="158">
        <f>AVERAGE(F77/F74*100)</f>
        <v>0</v>
      </c>
      <c r="H77" s="162"/>
      <c r="I77" s="158"/>
      <c r="J77" s="578">
        <f t="shared" si="41"/>
        <v>0</v>
      </c>
      <c r="K77" s="162"/>
      <c r="L77" s="158">
        <f>AVERAGE(K77/K74*100)</f>
        <v>0</v>
      </c>
      <c r="M77" s="159"/>
      <c r="N77" s="436"/>
      <c r="O77" s="417"/>
      <c r="P77" s="416"/>
      <c r="Q77" s="416"/>
      <c r="R77" s="416"/>
      <c r="S77" s="418"/>
      <c r="T77" s="559"/>
      <c r="U77" s="418"/>
      <c r="V77" s="444">
        <f t="shared" si="39"/>
        <v>0</v>
      </c>
    </row>
    <row r="78" spans="1:22" x14ac:dyDescent="0.25">
      <c r="A78" s="152"/>
      <c r="B78" s="148">
        <v>42</v>
      </c>
      <c r="C78" s="154"/>
      <c r="D78" s="170"/>
      <c r="E78" s="203" t="s">
        <v>137</v>
      </c>
      <c r="F78" s="144">
        <f>SUM(F79+F83+F91+F94+F97+F100)</f>
        <v>244386.12</v>
      </c>
      <c r="G78" s="145">
        <f>AVERAGE(F78/F$74*100)</f>
        <v>92.640324135213731</v>
      </c>
      <c r="H78" s="448">
        <f>SUM(H79+H83+H91+H94+H97+H100)</f>
        <v>474730</v>
      </c>
      <c r="I78" s="145">
        <f>AVERAGE(H78/H74*100)</f>
        <v>100</v>
      </c>
      <c r="J78" s="579">
        <f t="shared" si="41"/>
        <v>-43650</v>
      </c>
      <c r="K78" s="448">
        <f>SUM(K79+K83+K91+K94+K97+K100)</f>
        <v>431080</v>
      </c>
      <c r="L78" s="145">
        <f>AVERAGE(K78/K74*100)</f>
        <v>95.690296229702881</v>
      </c>
      <c r="M78" s="146">
        <f t="shared" si="42"/>
        <v>90.805299854654223</v>
      </c>
      <c r="N78" s="611">
        <f t="shared" ref="N78" si="49">SUM(N79+N83+N91+N94+N97+N103)</f>
        <v>0</v>
      </c>
      <c r="O78" s="612">
        <f t="shared" ref="O78:U78" si="50">SUM(O79+O83+O91+O94+O97+O100)</f>
        <v>189750</v>
      </c>
      <c r="P78" s="612">
        <f t="shared" si="50"/>
        <v>102950</v>
      </c>
      <c r="Q78" s="612">
        <f t="shared" si="50"/>
        <v>0</v>
      </c>
      <c r="R78" s="612">
        <f t="shared" si="50"/>
        <v>62100</v>
      </c>
      <c r="S78" s="613">
        <f t="shared" si="50"/>
        <v>56680</v>
      </c>
      <c r="T78" s="563">
        <f t="shared" ref="T78" si="51">SUM(T79+T83+T91+T94+T97+T100)</f>
        <v>19600</v>
      </c>
      <c r="U78" s="427">
        <f t="shared" si="50"/>
        <v>0</v>
      </c>
      <c r="V78" s="444">
        <f t="shared" si="39"/>
        <v>0</v>
      </c>
    </row>
    <row r="79" spans="1:22" x14ac:dyDescent="0.25">
      <c r="A79" s="152"/>
      <c r="B79" s="153"/>
      <c r="C79" s="154">
        <v>421</v>
      </c>
      <c r="D79" s="170"/>
      <c r="E79" s="166" t="s">
        <v>138</v>
      </c>
      <c r="F79" s="157">
        <f>SUM(F80:F82)</f>
        <v>4000</v>
      </c>
      <c r="G79" s="158">
        <f t="shared" ref="G79:G109" si="52">AVERAGE(F79/F$74*100)</f>
        <v>1.5162943645934348</v>
      </c>
      <c r="H79" s="162">
        <f>SUM(H80:H82)</f>
        <v>12550</v>
      </c>
      <c r="I79" s="158">
        <f>AVERAGE(H79/H74*100)</f>
        <v>2.6436079455690606</v>
      </c>
      <c r="J79" s="578">
        <f t="shared" si="41"/>
        <v>-4700</v>
      </c>
      <c r="K79" s="162">
        <f>SUM(K80:K82)</f>
        <v>7850</v>
      </c>
      <c r="L79" s="158">
        <f>AVERAGE(K79/K74*100)</f>
        <v>1.742527664014029</v>
      </c>
      <c r="M79" s="159">
        <f t="shared" si="42"/>
        <v>62.549800796812747</v>
      </c>
      <c r="N79" s="594">
        <f>SUM(N80:N82)</f>
        <v>0</v>
      </c>
      <c r="O79" s="417">
        <f t="shared" ref="O79:U79" si="53">SUM(O80:O82)</f>
        <v>1200</v>
      </c>
      <c r="P79" s="417">
        <f t="shared" si="53"/>
        <v>2650</v>
      </c>
      <c r="Q79" s="417">
        <f t="shared" si="53"/>
        <v>0</v>
      </c>
      <c r="R79" s="417">
        <f t="shared" si="53"/>
        <v>0</v>
      </c>
      <c r="S79" s="595">
        <f t="shared" si="53"/>
        <v>4000</v>
      </c>
      <c r="T79" s="559">
        <f t="shared" ref="T79" si="54">SUM(T80:T82)</f>
        <v>0</v>
      </c>
      <c r="U79" s="418">
        <f t="shared" si="53"/>
        <v>0</v>
      </c>
      <c r="V79" s="444">
        <f t="shared" si="39"/>
        <v>0</v>
      </c>
    </row>
    <row r="80" spans="1:22" x14ac:dyDescent="0.25">
      <c r="A80" s="152"/>
      <c r="B80" s="160"/>
      <c r="C80" s="153"/>
      <c r="D80" s="167" t="s">
        <v>139</v>
      </c>
      <c r="E80" s="168" t="s">
        <v>140</v>
      </c>
      <c r="F80" s="162">
        <v>4000</v>
      </c>
      <c r="G80" s="158">
        <f t="shared" si="52"/>
        <v>1.5162943645934348</v>
      </c>
      <c r="H80" s="162"/>
      <c r="I80" s="158">
        <f>AVERAGE(H80/H74*100)</f>
        <v>0</v>
      </c>
      <c r="J80" s="578">
        <f t="shared" si="41"/>
        <v>4000</v>
      </c>
      <c r="K80" s="162">
        <v>4000</v>
      </c>
      <c r="L80" s="158">
        <f>AVERAGE(K80/K74*100)</f>
        <v>0.88791218548485551</v>
      </c>
      <c r="M80" s="159"/>
      <c r="N80" s="597"/>
      <c r="O80" s="411"/>
      <c r="P80" s="411"/>
      <c r="Q80" s="598"/>
      <c r="R80" s="598"/>
      <c r="S80" s="599">
        <v>4000</v>
      </c>
      <c r="T80" s="560"/>
      <c r="U80" s="409"/>
      <c r="V80" s="444">
        <f t="shared" si="39"/>
        <v>0</v>
      </c>
    </row>
    <row r="81" spans="1:22" hidden="1" x14ac:dyDescent="0.25">
      <c r="A81" s="152"/>
      <c r="B81" s="160"/>
      <c r="C81" s="160"/>
      <c r="D81" s="167">
        <v>4213</v>
      </c>
      <c r="E81" s="168" t="s">
        <v>141</v>
      </c>
      <c r="F81" s="162"/>
      <c r="G81" s="158">
        <f t="shared" si="52"/>
        <v>0</v>
      </c>
      <c r="H81" s="162"/>
      <c r="I81" s="158">
        <f>AVERAGE(H81/H74*100)</f>
        <v>0</v>
      </c>
      <c r="J81" s="578">
        <f t="shared" si="41"/>
        <v>0</v>
      </c>
      <c r="K81" s="162"/>
      <c r="L81" s="158">
        <f>AVERAGE(K81/K74*100)</f>
        <v>0</v>
      </c>
      <c r="M81" s="159" t="e">
        <f t="shared" si="42"/>
        <v>#DIV/0!</v>
      </c>
      <c r="N81" s="591"/>
      <c r="O81" s="411"/>
      <c r="P81" s="411"/>
      <c r="Q81" s="411"/>
      <c r="R81" s="411"/>
      <c r="S81" s="592"/>
      <c r="T81" s="558"/>
      <c r="U81" s="415"/>
      <c r="V81" s="444">
        <f t="shared" si="39"/>
        <v>0</v>
      </c>
    </row>
    <row r="82" spans="1:22" x14ac:dyDescent="0.25">
      <c r="A82" s="152"/>
      <c r="B82" s="160"/>
      <c r="C82" s="163"/>
      <c r="D82" s="167" t="s">
        <v>142</v>
      </c>
      <c r="E82" s="168" t="s">
        <v>143</v>
      </c>
      <c r="F82" s="162">
        <v>0</v>
      </c>
      <c r="G82" s="158">
        <f t="shared" si="52"/>
        <v>0</v>
      </c>
      <c r="H82" s="162">
        <v>12550</v>
      </c>
      <c r="I82" s="158">
        <f>AVERAGE(H82/H74*100)</f>
        <v>2.6436079455690606</v>
      </c>
      <c r="J82" s="578">
        <f t="shared" si="41"/>
        <v>-8700</v>
      </c>
      <c r="K82" s="162">
        <v>3850</v>
      </c>
      <c r="L82" s="158">
        <f>AVERAGE(K82/K74*100)</f>
        <v>0.85461547852917352</v>
      </c>
      <c r="M82" s="159">
        <f t="shared" si="42"/>
        <v>30.677290836653388</v>
      </c>
      <c r="N82" s="589"/>
      <c r="O82" s="412">
        <v>1200</v>
      </c>
      <c r="P82" s="412">
        <f>2650</f>
        <v>2650</v>
      </c>
      <c r="Q82" s="412"/>
      <c r="R82" s="412"/>
      <c r="S82" s="549">
        <v>0</v>
      </c>
      <c r="T82" s="557"/>
      <c r="U82" s="413"/>
      <c r="V82" s="444">
        <f t="shared" si="39"/>
        <v>0</v>
      </c>
    </row>
    <row r="83" spans="1:22" x14ac:dyDescent="0.25">
      <c r="A83" s="152"/>
      <c r="B83" s="160"/>
      <c r="C83" s="154">
        <v>422</v>
      </c>
      <c r="D83" s="170"/>
      <c r="E83" s="166" t="s">
        <v>144</v>
      </c>
      <c r="F83" s="157">
        <f>SUM(F84:F90)</f>
        <v>175187.6</v>
      </c>
      <c r="G83" s="158">
        <f t="shared" si="52"/>
        <v>66.408992656662207</v>
      </c>
      <c r="H83" s="162">
        <f>SUM(H84:H90)</f>
        <v>274580</v>
      </c>
      <c r="I83" s="158">
        <f>AVERAGE(H83/H74*100)</f>
        <v>57.839192804330885</v>
      </c>
      <c r="J83" s="578">
        <f t="shared" si="41"/>
        <v>41150</v>
      </c>
      <c r="K83" s="162">
        <f>SUM(K84:K90)</f>
        <v>315730</v>
      </c>
      <c r="L83" s="158">
        <f>AVERAGE(K83/K74*100)</f>
        <v>70.085128580783362</v>
      </c>
      <c r="M83" s="159">
        <f t="shared" si="42"/>
        <v>114.98652487435356</v>
      </c>
      <c r="N83" s="589">
        <f>SUM(N84:N90)</f>
        <v>0</v>
      </c>
      <c r="O83" s="412">
        <f t="shared" ref="O83:U83" si="55">SUM(O84:O90)</f>
        <v>161650</v>
      </c>
      <c r="P83" s="412">
        <f t="shared" si="55"/>
        <v>62700</v>
      </c>
      <c r="Q83" s="412">
        <f t="shared" si="55"/>
        <v>0</v>
      </c>
      <c r="R83" s="412">
        <f t="shared" si="55"/>
        <v>28100</v>
      </c>
      <c r="S83" s="549">
        <f t="shared" si="55"/>
        <v>43680</v>
      </c>
      <c r="T83" s="557">
        <f t="shared" ref="T83" si="56">SUM(T84:T90)</f>
        <v>19600</v>
      </c>
      <c r="U83" s="413">
        <f t="shared" si="55"/>
        <v>0</v>
      </c>
      <c r="V83" s="444">
        <f t="shared" si="39"/>
        <v>0</v>
      </c>
    </row>
    <row r="84" spans="1:22" x14ac:dyDescent="0.25">
      <c r="A84" s="152"/>
      <c r="B84" s="160"/>
      <c r="C84" s="153"/>
      <c r="D84" s="204" t="s">
        <v>145</v>
      </c>
      <c r="E84" s="205" t="s">
        <v>146</v>
      </c>
      <c r="F84" s="162">
        <v>11795.09</v>
      </c>
      <c r="G84" s="158">
        <f t="shared" si="52"/>
        <v>4.4712071242180942</v>
      </c>
      <c r="H84" s="162">
        <v>31700</v>
      </c>
      <c r="I84" s="158">
        <f>AVERAGE(H84/H74*100)</f>
        <v>6.677479830640574</v>
      </c>
      <c r="J84" s="578">
        <f t="shared" si="41"/>
        <v>1500</v>
      </c>
      <c r="K84" s="162">
        <v>33200</v>
      </c>
      <c r="L84" s="158">
        <f>AVERAGE(K84/K74*100)</f>
        <v>7.3696711395243018</v>
      </c>
      <c r="M84" s="159">
        <f t="shared" si="42"/>
        <v>104.73186119873816</v>
      </c>
      <c r="N84" s="589"/>
      <c r="O84" s="411">
        <v>8900</v>
      </c>
      <c r="P84" s="412">
        <v>5000</v>
      </c>
      <c r="Q84" s="412"/>
      <c r="R84" s="412">
        <v>9500</v>
      </c>
      <c r="S84" s="549">
        <v>8600</v>
      </c>
      <c r="T84" s="557">
        <v>1200</v>
      </c>
      <c r="U84" s="413"/>
      <c r="V84" s="444">
        <f t="shared" si="39"/>
        <v>0</v>
      </c>
    </row>
    <row r="85" spans="1:22" x14ac:dyDescent="0.25">
      <c r="A85" s="152"/>
      <c r="B85" s="160"/>
      <c r="C85" s="160"/>
      <c r="D85" s="167" t="s">
        <v>147</v>
      </c>
      <c r="E85" s="168" t="s">
        <v>148</v>
      </c>
      <c r="F85" s="162">
        <v>11919.27</v>
      </c>
      <c r="G85" s="158">
        <f t="shared" si="52"/>
        <v>4.5182804827668974</v>
      </c>
      <c r="H85" s="162">
        <v>16000</v>
      </c>
      <c r="I85" s="158">
        <f>AVERAGE(H85/H74*100)</f>
        <v>3.3703368230362525</v>
      </c>
      <c r="J85" s="578">
        <f t="shared" si="41"/>
        <v>10000</v>
      </c>
      <c r="K85" s="162">
        <f>16000+10000</f>
        <v>26000</v>
      </c>
      <c r="L85" s="158">
        <f>AVERAGE(K85/K74*100)</f>
        <v>5.771429205651561</v>
      </c>
      <c r="M85" s="159">
        <f t="shared" si="42"/>
        <v>162.5</v>
      </c>
      <c r="N85" s="591"/>
      <c r="O85" s="411">
        <v>4500</v>
      </c>
      <c r="P85" s="411">
        <v>15000</v>
      </c>
      <c r="Q85" s="411"/>
      <c r="R85" s="411">
        <v>6500</v>
      </c>
      <c r="S85" s="592"/>
      <c r="T85" s="558"/>
      <c r="U85" s="415"/>
      <c r="V85" s="444">
        <f t="shared" si="39"/>
        <v>0</v>
      </c>
    </row>
    <row r="86" spans="1:22" x14ac:dyDescent="0.25">
      <c r="A86" s="152"/>
      <c r="B86" s="160"/>
      <c r="C86" s="160"/>
      <c r="D86" s="167">
        <v>4223</v>
      </c>
      <c r="E86" s="161" t="s">
        <v>149</v>
      </c>
      <c r="F86" s="162">
        <v>38139.01</v>
      </c>
      <c r="G86" s="158">
        <f t="shared" si="52"/>
        <v>14.457491483543164</v>
      </c>
      <c r="H86" s="162">
        <v>49700</v>
      </c>
      <c r="I86" s="158">
        <f>AVERAGE(H86/H74*100)</f>
        <v>10.469108756556359</v>
      </c>
      <c r="J86" s="578">
        <f t="shared" si="41"/>
        <v>15900</v>
      </c>
      <c r="K86" s="162">
        <f>52600+13000</f>
        <v>65600</v>
      </c>
      <c r="L86" s="158">
        <f>AVERAGE(K86/K74*100)</f>
        <v>14.561759841951631</v>
      </c>
      <c r="M86" s="159">
        <f t="shared" si="42"/>
        <v>131.99195171026156</v>
      </c>
      <c r="N86" s="589"/>
      <c r="O86" s="411">
        <f>27500+13000</f>
        <v>40500</v>
      </c>
      <c r="P86" s="412">
        <v>20500</v>
      </c>
      <c r="Q86" s="412"/>
      <c r="R86" s="412">
        <v>2100</v>
      </c>
      <c r="S86" s="549">
        <v>2500</v>
      </c>
      <c r="T86" s="557"/>
      <c r="U86" s="413"/>
      <c r="V86" s="444">
        <f t="shared" si="39"/>
        <v>0</v>
      </c>
    </row>
    <row r="87" spans="1:22" x14ac:dyDescent="0.25">
      <c r="A87" s="152"/>
      <c r="B87" s="160"/>
      <c r="C87" s="160"/>
      <c r="D87" s="167">
        <v>4224</v>
      </c>
      <c r="E87" s="161" t="s">
        <v>239</v>
      </c>
      <c r="F87" s="162">
        <v>0</v>
      </c>
      <c r="G87" s="158">
        <f t="shared" si="52"/>
        <v>0</v>
      </c>
      <c r="H87" s="162">
        <v>1000</v>
      </c>
      <c r="I87" s="158">
        <f>AVERAGE(H87/H74*100)</f>
        <v>0.21064605143976578</v>
      </c>
      <c r="J87" s="578">
        <f t="shared" si="41"/>
        <v>0</v>
      </c>
      <c r="K87" s="162">
        <v>1000</v>
      </c>
      <c r="L87" s="158">
        <f>AVERAGE(K87/K74*100)</f>
        <v>0.22197804637121388</v>
      </c>
      <c r="M87" s="159">
        <f t="shared" si="42"/>
        <v>100</v>
      </c>
      <c r="N87" s="589"/>
      <c r="O87" s="411"/>
      <c r="P87" s="412">
        <v>1000</v>
      </c>
      <c r="Q87" s="412"/>
      <c r="R87" s="412"/>
      <c r="S87" s="549"/>
      <c r="T87" s="557"/>
      <c r="U87" s="413"/>
      <c r="V87" s="444">
        <f t="shared" si="39"/>
        <v>0</v>
      </c>
    </row>
    <row r="88" spans="1:22" x14ac:dyDescent="0.25">
      <c r="A88" s="152"/>
      <c r="B88" s="160"/>
      <c r="C88" s="160"/>
      <c r="D88" s="167">
        <v>4225</v>
      </c>
      <c r="E88" s="168" t="s">
        <v>268</v>
      </c>
      <c r="F88" s="162">
        <v>9626.01</v>
      </c>
      <c r="G88" s="158">
        <f t="shared" si="52"/>
        <v>3.6489661791300123</v>
      </c>
      <c r="H88" s="162">
        <f>46750+17000-17000</f>
        <v>46750</v>
      </c>
      <c r="I88" s="158">
        <f>AVERAGE(H88/H74*100)</f>
        <v>9.847702904809049</v>
      </c>
      <c r="J88" s="578">
        <f t="shared" si="41"/>
        <v>9000</v>
      </c>
      <c r="K88" s="162">
        <v>55750</v>
      </c>
      <c r="L88" s="158">
        <f>AVERAGE(K88/K74*100)</f>
        <v>12.375276085195175</v>
      </c>
      <c r="M88" s="159">
        <f t="shared" si="42"/>
        <v>119.25133689839573</v>
      </c>
      <c r="N88" s="589"/>
      <c r="O88" s="411">
        <f>25000-17000</f>
        <v>8000</v>
      </c>
      <c r="P88" s="412">
        <f>14670-7900</f>
        <v>6770</v>
      </c>
      <c r="Q88" s="412"/>
      <c r="R88" s="412">
        <f>5000-1500</f>
        <v>3500</v>
      </c>
      <c r="S88" s="549">
        <f>2080+17000</f>
        <v>19080</v>
      </c>
      <c r="T88" s="557">
        <v>18400</v>
      </c>
      <c r="U88" s="413"/>
      <c r="V88" s="444">
        <f t="shared" si="39"/>
        <v>0</v>
      </c>
    </row>
    <row r="89" spans="1:22" x14ac:dyDescent="0.25">
      <c r="A89" s="152"/>
      <c r="B89" s="160"/>
      <c r="C89" s="160"/>
      <c r="D89" s="167">
        <v>4226</v>
      </c>
      <c r="E89" s="168" t="s">
        <v>151</v>
      </c>
      <c r="F89" s="162">
        <v>1600</v>
      </c>
      <c r="G89" s="158">
        <f t="shared" si="52"/>
        <v>0.60651774583737383</v>
      </c>
      <c r="H89" s="162">
        <v>10000</v>
      </c>
      <c r="I89" s="158">
        <f>AVERAGE(H89/H74*100)</f>
        <v>2.1064605143976576</v>
      </c>
      <c r="J89" s="578">
        <f t="shared" si="41"/>
        <v>0</v>
      </c>
      <c r="K89" s="162">
        <v>10000</v>
      </c>
      <c r="L89" s="158">
        <f>AVERAGE(K89/K74*100)</f>
        <v>2.219780463712139</v>
      </c>
      <c r="M89" s="159">
        <f t="shared" si="42"/>
        <v>100</v>
      </c>
      <c r="N89" s="589"/>
      <c r="O89" s="411">
        <v>5500</v>
      </c>
      <c r="P89" s="412"/>
      <c r="Q89" s="412"/>
      <c r="R89" s="412">
        <v>4500</v>
      </c>
      <c r="S89" s="549"/>
      <c r="T89" s="557"/>
      <c r="U89" s="413"/>
      <c r="V89" s="444">
        <f t="shared" si="39"/>
        <v>0</v>
      </c>
    </row>
    <row r="90" spans="1:22" x14ac:dyDescent="0.25">
      <c r="A90" s="152"/>
      <c r="B90" s="160"/>
      <c r="C90" s="163"/>
      <c r="D90" s="167">
        <v>4227</v>
      </c>
      <c r="E90" s="168" t="s">
        <v>152</v>
      </c>
      <c r="F90" s="162">
        <v>102108.22</v>
      </c>
      <c r="G90" s="158">
        <f t="shared" si="52"/>
        <v>38.706529641166661</v>
      </c>
      <c r="H90" s="162">
        <f>119430+20000-20000</f>
        <v>119430</v>
      </c>
      <c r="I90" s="158">
        <f>AVERAGE(H90/H74*100)</f>
        <v>25.157457923451226</v>
      </c>
      <c r="J90" s="578">
        <f t="shared" si="41"/>
        <v>4750</v>
      </c>
      <c r="K90" s="162">
        <v>124180</v>
      </c>
      <c r="L90" s="158">
        <f>AVERAGE(K90/K74*100)</f>
        <v>27.565233798377342</v>
      </c>
      <c r="M90" s="159">
        <f t="shared" si="42"/>
        <v>103.97722515280918</v>
      </c>
      <c r="N90" s="589"/>
      <c r="O90" s="411">
        <f>90000+4250</f>
        <v>94250</v>
      </c>
      <c r="P90" s="412">
        <v>14430</v>
      </c>
      <c r="Q90" s="412"/>
      <c r="R90" s="412">
        <v>2000</v>
      </c>
      <c r="S90" s="549">
        <v>13500</v>
      </c>
      <c r="T90" s="557"/>
      <c r="U90" s="413"/>
      <c r="V90" s="444">
        <f t="shared" si="39"/>
        <v>0</v>
      </c>
    </row>
    <row r="91" spans="1:22" x14ac:dyDescent="0.25">
      <c r="A91" s="152"/>
      <c r="B91" s="160"/>
      <c r="C91" s="154">
        <v>423</v>
      </c>
      <c r="D91" s="170"/>
      <c r="E91" s="166" t="s">
        <v>153</v>
      </c>
      <c r="F91" s="157">
        <f>SUM(F92:F93)</f>
        <v>56198.52</v>
      </c>
      <c r="G91" s="158">
        <f t="shared" si="52"/>
        <v>21.303374793622858</v>
      </c>
      <c r="H91" s="162">
        <f>SUM(H92:H93)</f>
        <v>155000</v>
      </c>
      <c r="I91" s="158">
        <f>AVERAGE(H91/H74*100)</f>
        <v>32.650137973163694</v>
      </c>
      <c r="J91" s="578">
        <f t="shared" si="41"/>
        <v>-65000</v>
      </c>
      <c r="K91" s="162">
        <f>SUM(K92:K93)</f>
        <v>90000</v>
      </c>
      <c r="L91" s="158">
        <f>AVERAGE(K91/K74*100)</f>
        <v>19.978024173409249</v>
      </c>
      <c r="M91" s="159">
        <f t="shared" si="42"/>
        <v>58.064516129032263</v>
      </c>
      <c r="N91" s="589">
        <f>SUM(N92:N93)</f>
        <v>0</v>
      </c>
      <c r="O91" s="412">
        <f t="shared" ref="O91:S91" si="57">SUM(O92:O93)</f>
        <v>25000</v>
      </c>
      <c r="P91" s="412">
        <f t="shared" si="57"/>
        <v>35000</v>
      </c>
      <c r="Q91" s="412">
        <f t="shared" si="57"/>
        <v>0</v>
      </c>
      <c r="R91" s="412">
        <f t="shared" si="57"/>
        <v>30000</v>
      </c>
      <c r="S91" s="549">
        <f t="shared" si="57"/>
        <v>0</v>
      </c>
      <c r="T91" s="557">
        <f t="shared" ref="T91:V91" si="58">SUM(T92:T93)</f>
        <v>0</v>
      </c>
      <c r="U91" s="413">
        <f t="shared" si="58"/>
        <v>0</v>
      </c>
      <c r="V91" s="441">
        <f t="shared" si="58"/>
        <v>0</v>
      </c>
    </row>
    <row r="92" spans="1:22" x14ac:dyDescent="0.25">
      <c r="A92" s="152"/>
      <c r="B92" s="160"/>
      <c r="C92" s="153"/>
      <c r="D92" s="167" t="s">
        <v>154</v>
      </c>
      <c r="E92" s="168" t="s">
        <v>155</v>
      </c>
      <c r="F92" s="162">
        <v>56198.52</v>
      </c>
      <c r="G92" s="158">
        <f t="shared" si="52"/>
        <v>21.303374793622858</v>
      </c>
      <c r="H92" s="162">
        <v>155000</v>
      </c>
      <c r="I92" s="158">
        <f>AVERAGE(H92/H74*100)</f>
        <v>32.650137973163694</v>
      </c>
      <c r="J92" s="578">
        <f t="shared" si="41"/>
        <v>-65000</v>
      </c>
      <c r="K92" s="162">
        <v>90000</v>
      </c>
      <c r="L92" s="158">
        <f>AVERAGE(K92/K74*100)</f>
        <v>19.978024173409249</v>
      </c>
      <c r="M92" s="159">
        <f t="shared" si="42"/>
        <v>58.064516129032263</v>
      </c>
      <c r="N92" s="589"/>
      <c r="O92" s="411">
        <v>25000</v>
      </c>
      <c r="P92" s="412">
        <v>35000</v>
      </c>
      <c r="Q92" s="412"/>
      <c r="R92" s="412">
        <v>30000</v>
      </c>
      <c r="S92" s="549"/>
      <c r="T92" s="557"/>
      <c r="U92" s="413"/>
      <c r="V92" s="444">
        <f t="shared" ref="V92:V110" si="59">K92-SUM(N92:U92)</f>
        <v>0</v>
      </c>
    </row>
    <row r="93" spans="1:22" x14ac:dyDescent="0.25">
      <c r="A93" s="152"/>
      <c r="B93" s="160"/>
      <c r="C93" s="153"/>
      <c r="D93" s="167">
        <v>4233</v>
      </c>
      <c r="E93" s="168" t="s">
        <v>182</v>
      </c>
      <c r="F93" s="162">
        <v>0</v>
      </c>
      <c r="G93" s="158">
        <f t="shared" si="52"/>
        <v>0</v>
      </c>
      <c r="H93" s="162">
        <v>0</v>
      </c>
      <c r="I93" s="158">
        <f>AVERAGE(H93/H74*100)</f>
        <v>0</v>
      </c>
      <c r="J93" s="578">
        <f t="shared" si="41"/>
        <v>0</v>
      </c>
      <c r="K93" s="162">
        <v>0</v>
      </c>
      <c r="L93" s="158">
        <f>AVERAGE(K93/K74*100)</f>
        <v>0</v>
      </c>
      <c r="M93" s="159"/>
      <c r="N93" s="614"/>
      <c r="O93" s="615"/>
      <c r="P93" s="615"/>
      <c r="Q93" s="615"/>
      <c r="R93" s="615"/>
      <c r="S93" s="616"/>
      <c r="T93" s="568"/>
      <c r="U93" s="430"/>
      <c r="V93" s="444">
        <f t="shared" si="59"/>
        <v>0</v>
      </c>
    </row>
    <row r="94" spans="1:22" x14ac:dyDescent="0.25">
      <c r="A94" s="152"/>
      <c r="B94" s="160"/>
      <c r="C94" s="154">
        <v>424</v>
      </c>
      <c r="D94" s="170"/>
      <c r="E94" s="166" t="s">
        <v>189</v>
      </c>
      <c r="F94" s="157">
        <f>SUM(F95:F96)</f>
        <v>9000</v>
      </c>
      <c r="G94" s="158">
        <f t="shared" si="52"/>
        <v>3.4116623203352283</v>
      </c>
      <c r="H94" s="162">
        <f>SUM(H95:H96)</f>
        <v>0</v>
      </c>
      <c r="I94" s="158">
        <f>AVERAGE(H94/H74*100)</f>
        <v>0</v>
      </c>
      <c r="J94" s="578">
        <f>SUM(J95:J96)</f>
        <v>9000</v>
      </c>
      <c r="K94" s="162">
        <f>SUM(K95:K96)</f>
        <v>9000</v>
      </c>
      <c r="L94" s="158">
        <f>AVERAGE(K94/K74*100)</f>
        <v>1.997802417340925</v>
      </c>
      <c r="M94" s="159"/>
      <c r="N94" s="589">
        <f>SUM(N95:N96)</f>
        <v>0</v>
      </c>
      <c r="O94" s="412">
        <f t="shared" ref="O94:U94" si="60">SUM(O95:O96)</f>
        <v>0</v>
      </c>
      <c r="P94" s="412">
        <f t="shared" si="60"/>
        <v>0</v>
      </c>
      <c r="Q94" s="412">
        <f t="shared" si="60"/>
        <v>0</v>
      </c>
      <c r="R94" s="412">
        <f t="shared" si="60"/>
        <v>0</v>
      </c>
      <c r="S94" s="549">
        <f t="shared" si="60"/>
        <v>9000</v>
      </c>
      <c r="T94" s="557">
        <f t="shared" ref="T94" si="61">SUM(T95:T96)</f>
        <v>0</v>
      </c>
      <c r="U94" s="413">
        <f t="shared" si="60"/>
        <v>0</v>
      </c>
      <c r="V94" s="444">
        <f t="shared" si="59"/>
        <v>0</v>
      </c>
    </row>
    <row r="95" spans="1:22" x14ac:dyDescent="0.25">
      <c r="A95" s="152"/>
      <c r="B95" s="160"/>
      <c r="C95" s="153"/>
      <c r="D95" s="167">
        <v>4241</v>
      </c>
      <c r="E95" s="168" t="s">
        <v>215</v>
      </c>
      <c r="F95" s="162">
        <v>0</v>
      </c>
      <c r="G95" s="158">
        <f t="shared" si="52"/>
        <v>0</v>
      </c>
      <c r="H95" s="162">
        <v>0</v>
      </c>
      <c r="I95" s="158">
        <f>AVERAGE(H95/H74*100)</f>
        <v>0</v>
      </c>
      <c r="J95" s="578">
        <f t="shared" si="41"/>
        <v>0</v>
      </c>
      <c r="K95" s="162">
        <v>0</v>
      </c>
      <c r="L95" s="158">
        <f>AVERAGE(K95/K74*100)</f>
        <v>0</v>
      </c>
      <c r="M95" s="159"/>
      <c r="N95" s="589"/>
      <c r="O95" s="411"/>
      <c r="P95" s="412">
        <v>0</v>
      </c>
      <c r="Q95" s="412"/>
      <c r="R95" s="412"/>
      <c r="S95" s="549"/>
      <c r="T95" s="557"/>
      <c r="U95" s="413"/>
      <c r="V95" s="444">
        <f t="shared" si="59"/>
        <v>0</v>
      </c>
    </row>
    <row r="96" spans="1:22" x14ac:dyDescent="0.25">
      <c r="A96" s="152"/>
      <c r="B96" s="160"/>
      <c r="C96" s="153"/>
      <c r="D96" s="167">
        <v>4242</v>
      </c>
      <c r="E96" s="168" t="s">
        <v>190</v>
      </c>
      <c r="F96" s="162">
        <v>9000</v>
      </c>
      <c r="G96" s="158">
        <f t="shared" si="52"/>
        <v>3.4116623203352283</v>
      </c>
      <c r="H96" s="162"/>
      <c r="I96" s="158">
        <f>AVERAGE(H96/H74*100)</f>
        <v>0</v>
      </c>
      <c r="J96" s="578">
        <f t="shared" si="41"/>
        <v>9000</v>
      </c>
      <c r="K96" s="162">
        <v>9000</v>
      </c>
      <c r="L96" s="158">
        <f>AVERAGE(K96/K74*100)</f>
        <v>1.997802417340925</v>
      </c>
      <c r="M96" s="159"/>
      <c r="N96" s="589"/>
      <c r="O96" s="411"/>
      <c r="P96" s="412"/>
      <c r="Q96" s="412"/>
      <c r="R96" s="412"/>
      <c r="S96" s="549">
        <v>9000</v>
      </c>
      <c r="T96" s="557"/>
      <c r="U96" s="413"/>
      <c r="V96" s="444">
        <f t="shared" si="59"/>
        <v>0</v>
      </c>
    </row>
    <row r="97" spans="1:22" x14ac:dyDescent="0.25">
      <c r="A97" s="152"/>
      <c r="B97" s="160"/>
      <c r="C97" s="154">
        <v>425</v>
      </c>
      <c r="D97" s="167"/>
      <c r="E97" s="168" t="s">
        <v>156</v>
      </c>
      <c r="F97" s="157">
        <f>SUM(F98:F99)</f>
        <v>0</v>
      </c>
      <c r="G97" s="158">
        <f t="shared" si="52"/>
        <v>0</v>
      </c>
      <c r="H97" s="162">
        <f>SUM(H98:H99)</f>
        <v>32600</v>
      </c>
      <c r="I97" s="158">
        <f>AVERAGE(H97/H74*100)</f>
        <v>6.8670612769363633</v>
      </c>
      <c r="J97" s="578">
        <f t="shared" si="41"/>
        <v>-26000</v>
      </c>
      <c r="K97" s="162">
        <f>SUM(K98:K99)</f>
        <v>6600</v>
      </c>
      <c r="L97" s="158">
        <f>AVERAGE(K97/K74*100)</f>
        <v>1.4650551060500117</v>
      </c>
      <c r="M97" s="159">
        <f t="shared" si="42"/>
        <v>20.245398773006134</v>
      </c>
      <c r="N97" s="589">
        <f>SUM(N98:N99)</f>
        <v>0</v>
      </c>
      <c r="O97" s="412">
        <f t="shared" ref="O97:U97" si="62">SUM(O98:O99)</f>
        <v>0</v>
      </c>
      <c r="P97" s="412">
        <f t="shared" si="62"/>
        <v>2600</v>
      </c>
      <c r="Q97" s="412">
        <f t="shared" si="62"/>
        <v>0</v>
      </c>
      <c r="R97" s="412">
        <f t="shared" si="62"/>
        <v>4000</v>
      </c>
      <c r="S97" s="549">
        <f t="shared" si="62"/>
        <v>0</v>
      </c>
      <c r="T97" s="557">
        <f t="shared" ref="T97" si="63">SUM(T98:T99)</f>
        <v>0</v>
      </c>
      <c r="U97" s="413">
        <f t="shared" si="62"/>
        <v>0</v>
      </c>
      <c r="V97" s="444">
        <f t="shared" si="59"/>
        <v>0</v>
      </c>
    </row>
    <row r="98" spans="1:22" hidden="1" x14ac:dyDescent="0.25">
      <c r="A98" s="152"/>
      <c r="B98" s="160"/>
      <c r="C98" s="153"/>
      <c r="D98" s="167">
        <v>4251</v>
      </c>
      <c r="E98" s="168" t="s">
        <v>157</v>
      </c>
      <c r="F98" s="162"/>
      <c r="G98" s="158">
        <f t="shared" si="52"/>
        <v>0</v>
      </c>
      <c r="H98" s="162"/>
      <c r="I98" s="158">
        <f>AVERAGE(H98/H74*100)</f>
        <v>0</v>
      </c>
      <c r="J98" s="578">
        <f t="shared" si="41"/>
        <v>0</v>
      </c>
      <c r="K98" s="162"/>
      <c r="L98" s="158">
        <f>AVERAGE(K98/K74*100)</f>
        <v>0</v>
      </c>
      <c r="M98" s="159" t="e">
        <f t="shared" si="42"/>
        <v>#DIV/0!</v>
      </c>
      <c r="N98" s="589"/>
      <c r="O98" s="412"/>
      <c r="P98" s="412"/>
      <c r="Q98" s="412"/>
      <c r="R98" s="412"/>
      <c r="S98" s="549"/>
      <c r="T98" s="557"/>
      <c r="U98" s="413"/>
      <c r="V98" s="444">
        <f t="shared" si="59"/>
        <v>0</v>
      </c>
    </row>
    <row r="99" spans="1:22" x14ac:dyDescent="0.25">
      <c r="A99" s="152"/>
      <c r="B99" s="160"/>
      <c r="C99" s="163"/>
      <c r="D99" s="167">
        <v>4252</v>
      </c>
      <c r="E99" s="168" t="s">
        <v>158</v>
      </c>
      <c r="F99" s="162">
        <v>0</v>
      </c>
      <c r="G99" s="158">
        <f t="shared" si="52"/>
        <v>0</v>
      </c>
      <c r="H99" s="162">
        <v>32600</v>
      </c>
      <c r="I99" s="158">
        <f>AVERAGE(H99/H74*100)</f>
        <v>6.8670612769363633</v>
      </c>
      <c r="J99" s="578">
        <f t="shared" si="41"/>
        <v>-26000</v>
      </c>
      <c r="K99" s="162">
        <v>6600</v>
      </c>
      <c r="L99" s="158">
        <f>AVERAGE(K99/K74*100)</f>
        <v>1.4650551060500117</v>
      </c>
      <c r="M99" s="159">
        <f t="shared" si="42"/>
        <v>20.245398773006134</v>
      </c>
      <c r="N99" s="589"/>
      <c r="O99" s="411"/>
      <c r="P99" s="412">
        <v>2600</v>
      </c>
      <c r="Q99" s="412"/>
      <c r="R99" s="412">
        <v>4000</v>
      </c>
      <c r="S99" s="549"/>
      <c r="T99" s="557"/>
      <c r="U99" s="413"/>
      <c r="V99" s="444">
        <f t="shared" si="59"/>
        <v>0</v>
      </c>
    </row>
    <row r="100" spans="1:22" x14ac:dyDescent="0.25">
      <c r="A100" s="152"/>
      <c r="B100" s="160"/>
      <c r="C100" s="154">
        <v>426</v>
      </c>
      <c r="D100" s="167"/>
      <c r="E100" s="164" t="s">
        <v>159</v>
      </c>
      <c r="F100" s="157">
        <f>SUM(F101:F102)</f>
        <v>0</v>
      </c>
      <c r="G100" s="158">
        <f t="shared" si="52"/>
        <v>0</v>
      </c>
      <c r="H100" s="162">
        <f>SUM(H101:H102)</f>
        <v>0</v>
      </c>
      <c r="I100" s="158">
        <f>AVERAGE(H100/H74*100)</f>
        <v>0</v>
      </c>
      <c r="J100" s="578">
        <f t="shared" si="41"/>
        <v>1900</v>
      </c>
      <c r="K100" s="162">
        <f>SUM(K101:K102)</f>
        <v>1900</v>
      </c>
      <c r="L100" s="158">
        <f>AVERAGE(K100/K74*100)</f>
        <v>0.42175828810530641</v>
      </c>
      <c r="M100" s="159"/>
      <c r="N100" s="605">
        <f>SUM(N101+N102)</f>
        <v>0</v>
      </c>
      <c r="O100" s="606">
        <f t="shared" ref="O100:U100" si="64">SUM(O101+O102)</f>
        <v>1900</v>
      </c>
      <c r="P100" s="606">
        <f t="shared" si="64"/>
        <v>0</v>
      </c>
      <c r="Q100" s="606">
        <f t="shared" si="64"/>
        <v>0</v>
      </c>
      <c r="R100" s="606">
        <f t="shared" si="64"/>
        <v>0</v>
      </c>
      <c r="S100" s="607">
        <f t="shared" si="64"/>
        <v>0</v>
      </c>
      <c r="T100" s="561">
        <f t="shared" ref="T100" si="65">SUM(T101+T102)</f>
        <v>0</v>
      </c>
      <c r="U100" s="421">
        <f t="shared" si="64"/>
        <v>0</v>
      </c>
      <c r="V100" s="444">
        <f t="shared" si="59"/>
        <v>0</v>
      </c>
    </row>
    <row r="101" spans="1:22" x14ac:dyDescent="0.25">
      <c r="A101" s="152"/>
      <c r="B101" s="163"/>
      <c r="C101" s="154"/>
      <c r="D101" s="204">
        <v>4262</v>
      </c>
      <c r="E101" s="164" t="s">
        <v>160</v>
      </c>
      <c r="F101" s="162"/>
      <c r="G101" s="158">
        <f t="shared" si="52"/>
        <v>0</v>
      </c>
      <c r="H101" s="162">
        <v>0</v>
      </c>
      <c r="I101" s="158">
        <f>AVERAGE(H101/H74*100)</f>
        <v>0</v>
      </c>
      <c r="J101" s="578">
        <f t="shared" si="41"/>
        <v>1900</v>
      </c>
      <c r="K101" s="162">
        <v>1900</v>
      </c>
      <c r="L101" s="158">
        <f>AVERAGE(K101/K74*100)</f>
        <v>0.42175828810530641</v>
      </c>
      <c r="M101" s="159"/>
      <c r="N101" s="605"/>
      <c r="O101" s="411">
        <v>1900</v>
      </c>
      <c r="P101" s="411"/>
      <c r="Q101" s="411"/>
      <c r="R101" s="411"/>
      <c r="S101" s="592"/>
      <c r="T101" s="558"/>
      <c r="U101" s="415"/>
      <c r="V101" s="444">
        <f t="shared" si="59"/>
        <v>0</v>
      </c>
    </row>
    <row r="102" spans="1:22" x14ac:dyDescent="0.25">
      <c r="A102" s="152"/>
      <c r="B102" s="163"/>
      <c r="C102" s="154"/>
      <c r="D102" s="204">
        <v>4263</v>
      </c>
      <c r="E102" s="164" t="s">
        <v>191</v>
      </c>
      <c r="F102" s="162"/>
      <c r="G102" s="158">
        <f t="shared" si="52"/>
        <v>0</v>
      </c>
      <c r="H102" s="162"/>
      <c r="I102" s="158">
        <f>AVERAGE(H102/H74*100)</f>
        <v>0</v>
      </c>
      <c r="J102" s="578">
        <f t="shared" si="41"/>
        <v>0</v>
      </c>
      <c r="K102" s="162"/>
      <c r="L102" s="158">
        <f>AVERAGE(K102/K74*100)</f>
        <v>0</v>
      </c>
      <c r="M102" s="159"/>
      <c r="N102" s="437"/>
      <c r="O102" s="414"/>
      <c r="P102" s="414"/>
      <c r="Q102" s="414"/>
      <c r="R102" s="414"/>
      <c r="S102" s="415"/>
      <c r="T102" s="558"/>
      <c r="U102" s="415"/>
      <c r="V102" s="444">
        <f t="shared" si="59"/>
        <v>0</v>
      </c>
    </row>
    <row r="103" spans="1:22" x14ac:dyDescent="0.25">
      <c r="A103" s="152"/>
      <c r="B103" s="148">
        <v>45</v>
      </c>
      <c r="C103" s="154"/>
      <c r="D103" s="206"/>
      <c r="E103" s="144" t="s">
        <v>161</v>
      </c>
      <c r="F103" s="144">
        <f>SUM(F104+F106+F108+F110)</f>
        <v>19414.900000000001</v>
      </c>
      <c r="G103" s="145">
        <f t="shared" si="52"/>
        <v>7.3596758647862695</v>
      </c>
      <c r="H103" s="448">
        <f>SUM(H104+H106+H108+H110)</f>
        <v>0</v>
      </c>
      <c r="I103" s="145">
        <f>AVERAGE(H103/H74*100)</f>
        <v>0</v>
      </c>
      <c r="J103" s="579">
        <f t="shared" si="41"/>
        <v>19415</v>
      </c>
      <c r="K103" s="448">
        <f>SUM(K104+K106+K108+K110)</f>
        <v>19415</v>
      </c>
      <c r="L103" s="145">
        <f>AVERAGE(K103/K74*100)</f>
        <v>4.3097037702971175</v>
      </c>
      <c r="M103" s="159"/>
      <c r="N103" s="439">
        <f>SUM(N104+N106+N108+N110)</f>
        <v>0</v>
      </c>
      <c r="O103" s="426">
        <f t="shared" ref="O103:U103" si="66">SUM(O104+O106+O108+O110)</f>
        <v>19415</v>
      </c>
      <c r="P103" s="426">
        <f t="shared" si="66"/>
        <v>0</v>
      </c>
      <c r="Q103" s="426">
        <f t="shared" si="66"/>
        <v>0</v>
      </c>
      <c r="R103" s="426">
        <f t="shared" si="66"/>
        <v>0</v>
      </c>
      <c r="S103" s="427">
        <f t="shared" si="66"/>
        <v>0</v>
      </c>
      <c r="T103" s="563">
        <f t="shared" ref="T103" si="67">SUM(T104+T106+T108+T110)</f>
        <v>0</v>
      </c>
      <c r="U103" s="427">
        <f t="shared" si="66"/>
        <v>0</v>
      </c>
      <c r="V103" s="444">
        <f t="shared" si="59"/>
        <v>0</v>
      </c>
    </row>
    <row r="104" spans="1:22" x14ac:dyDescent="0.25">
      <c r="A104" s="152"/>
      <c r="B104" s="153"/>
      <c r="C104" s="154">
        <v>451</v>
      </c>
      <c r="D104" s="206"/>
      <c r="E104" s="166" t="s">
        <v>162</v>
      </c>
      <c r="F104" s="157">
        <f>SUM(F105)</f>
        <v>0</v>
      </c>
      <c r="G104" s="158">
        <f t="shared" si="52"/>
        <v>0</v>
      </c>
      <c r="H104" s="162">
        <f>SUM(H105)</f>
        <v>0</v>
      </c>
      <c r="I104" s="158">
        <f>AVERAGE(H104/H74*100)</f>
        <v>0</v>
      </c>
      <c r="J104" s="578">
        <f t="shared" si="41"/>
        <v>0</v>
      </c>
      <c r="K104" s="162">
        <f>SUM(K105)</f>
        <v>0</v>
      </c>
      <c r="L104" s="158">
        <f>AVERAGE(K104/K74*100)</f>
        <v>0</v>
      </c>
      <c r="M104" s="159"/>
      <c r="N104" s="436">
        <f>SUM(N105)</f>
        <v>0</v>
      </c>
      <c r="O104" s="416">
        <f t="shared" ref="O104:U104" si="68">SUM(O105)</f>
        <v>0</v>
      </c>
      <c r="P104" s="416">
        <f t="shared" si="68"/>
        <v>0</v>
      </c>
      <c r="Q104" s="416">
        <f t="shared" si="68"/>
        <v>0</v>
      </c>
      <c r="R104" s="416">
        <f t="shared" si="68"/>
        <v>0</v>
      </c>
      <c r="S104" s="418">
        <f t="shared" si="68"/>
        <v>0</v>
      </c>
      <c r="T104" s="559">
        <f t="shared" si="68"/>
        <v>0</v>
      </c>
      <c r="U104" s="436">
        <f t="shared" si="68"/>
        <v>0</v>
      </c>
      <c r="V104" s="444">
        <f t="shared" si="59"/>
        <v>0</v>
      </c>
    </row>
    <row r="105" spans="1:22" x14ac:dyDescent="0.25">
      <c r="A105" s="152"/>
      <c r="B105" s="160"/>
      <c r="C105" s="148"/>
      <c r="D105" s="167" t="s">
        <v>163</v>
      </c>
      <c r="E105" s="166" t="s">
        <v>162</v>
      </c>
      <c r="F105" s="162">
        <v>0</v>
      </c>
      <c r="G105" s="158">
        <f t="shared" si="52"/>
        <v>0</v>
      </c>
      <c r="H105" s="162"/>
      <c r="I105" s="158">
        <f>AVERAGE(H105/H74*100)</f>
        <v>0</v>
      </c>
      <c r="J105" s="578">
        <f t="shared" si="41"/>
        <v>0</v>
      </c>
      <c r="K105" s="162"/>
      <c r="L105" s="158">
        <f>AVERAGE(K105/K74*100)</f>
        <v>0</v>
      </c>
      <c r="M105" s="159"/>
      <c r="N105" s="433"/>
      <c r="O105" s="412"/>
      <c r="P105" s="414"/>
      <c r="Q105" s="414"/>
      <c r="R105" s="414"/>
      <c r="S105" s="415"/>
      <c r="T105" s="558"/>
      <c r="U105" s="415"/>
      <c r="V105" s="492">
        <f t="shared" si="59"/>
        <v>0</v>
      </c>
    </row>
    <row r="106" spans="1:22" x14ac:dyDescent="0.25">
      <c r="A106" s="152"/>
      <c r="B106" s="160"/>
      <c r="C106" s="163">
        <v>452</v>
      </c>
      <c r="D106" s="478"/>
      <c r="E106" s="479" t="s">
        <v>181</v>
      </c>
      <c r="F106" s="480">
        <f>SUM(F107)</f>
        <v>19414.900000000001</v>
      </c>
      <c r="G106" s="200">
        <f t="shared" si="52"/>
        <v>7.3596758647862695</v>
      </c>
      <c r="H106" s="480">
        <f>SUM(H107)</f>
        <v>0</v>
      </c>
      <c r="I106" s="200">
        <f>AVERAGE(H106/H74*100)</f>
        <v>0</v>
      </c>
      <c r="J106" s="580">
        <f t="shared" si="41"/>
        <v>19415</v>
      </c>
      <c r="K106" s="480">
        <f>SUM(K107)</f>
        <v>19415</v>
      </c>
      <c r="L106" s="200">
        <f>AVERAGE(K106/K74*100)</f>
        <v>4.3097037702971175</v>
      </c>
      <c r="M106" s="159"/>
      <c r="N106" s="481">
        <f>SUM(N107)</f>
        <v>0</v>
      </c>
      <c r="O106" s="482">
        <f t="shared" ref="O106:U106" si="69">SUM(O107)</f>
        <v>19415</v>
      </c>
      <c r="P106" s="482">
        <f t="shared" si="69"/>
        <v>0</v>
      </c>
      <c r="Q106" s="482">
        <f t="shared" si="69"/>
        <v>0</v>
      </c>
      <c r="R106" s="482">
        <f t="shared" si="69"/>
        <v>0</v>
      </c>
      <c r="S106" s="483">
        <f t="shared" si="69"/>
        <v>0</v>
      </c>
      <c r="T106" s="569">
        <f t="shared" si="69"/>
        <v>0</v>
      </c>
      <c r="U106" s="483">
        <f t="shared" si="69"/>
        <v>0</v>
      </c>
      <c r="V106" s="444">
        <f t="shared" si="59"/>
        <v>0</v>
      </c>
    </row>
    <row r="107" spans="1:22" x14ac:dyDescent="0.25">
      <c r="A107" s="545"/>
      <c r="B107" s="163"/>
      <c r="C107" s="174"/>
      <c r="D107" s="167">
        <v>4521</v>
      </c>
      <c r="E107" s="166" t="s">
        <v>181</v>
      </c>
      <c r="F107" s="162">
        <v>19414.900000000001</v>
      </c>
      <c r="G107" s="158">
        <f t="shared" si="52"/>
        <v>7.3596758647862695</v>
      </c>
      <c r="H107" s="162">
        <v>0</v>
      </c>
      <c r="I107" s="158">
        <f>AVERAGE(H107/H74*100)</f>
        <v>0</v>
      </c>
      <c r="J107" s="578">
        <f t="shared" si="41"/>
        <v>19415</v>
      </c>
      <c r="K107" s="162">
        <v>19415</v>
      </c>
      <c r="L107" s="158">
        <f>AVERAGE(K107/K74*100)</f>
        <v>4.3097037702971175</v>
      </c>
      <c r="M107" s="159"/>
      <c r="N107" s="436"/>
      <c r="O107" s="411">
        <v>19415</v>
      </c>
      <c r="P107" s="416"/>
      <c r="Q107" s="416"/>
      <c r="R107" s="416"/>
      <c r="S107" s="418"/>
      <c r="T107" s="559"/>
      <c r="U107" s="418"/>
      <c r="V107" s="492">
        <f t="shared" si="59"/>
        <v>0</v>
      </c>
    </row>
    <row r="108" spans="1:22" x14ac:dyDescent="0.25">
      <c r="A108" s="152"/>
      <c r="B108" s="160"/>
      <c r="C108" s="163">
        <v>453</v>
      </c>
      <c r="D108" s="478"/>
      <c r="E108" s="479" t="s">
        <v>164</v>
      </c>
      <c r="F108" s="486">
        <f>SUM(F109)</f>
        <v>0</v>
      </c>
      <c r="G108" s="200">
        <f t="shared" si="52"/>
        <v>0</v>
      </c>
      <c r="H108" s="487">
        <f>SUM(H109)</f>
        <v>0</v>
      </c>
      <c r="I108" s="200">
        <f>AVERAGE(H108/H74*100)</f>
        <v>0</v>
      </c>
      <c r="J108" s="580">
        <f t="shared" si="41"/>
        <v>0</v>
      </c>
      <c r="K108" s="487">
        <f>SUM(K109)</f>
        <v>0</v>
      </c>
      <c r="L108" s="200">
        <f>AVERAGE(K108/K74*100)</f>
        <v>0</v>
      </c>
      <c r="M108" s="159"/>
      <c r="N108" s="438">
        <f>SUM(N109)</f>
        <v>0</v>
      </c>
      <c r="O108" s="424">
        <f t="shared" ref="O108:U108" si="70">SUM(O109)</f>
        <v>0</v>
      </c>
      <c r="P108" s="424">
        <f t="shared" si="70"/>
        <v>0</v>
      </c>
      <c r="Q108" s="424">
        <f t="shared" si="70"/>
        <v>0</v>
      </c>
      <c r="R108" s="424">
        <f t="shared" si="70"/>
        <v>0</v>
      </c>
      <c r="S108" s="425">
        <f t="shared" si="70"/>
        <v>0</v>
      </c>
      <c r="T108" s="562">
        <f t="shared" si="70"/>
        <v>0</v>
      </c>
      <c r="U108" s="425">
        <f t="shared" si="70"/>
        <v>0</v>
      </c>
      <c r="V108" s="444">
        <f t="shared" si="59"/>
        <v>0</v>
      </c>
    </row>
    <row r="109" spans="1:22" ht="15.75" thickBot="1" x14ac:dyDescent="0.3">
      <c r="A109" s="207"/>
      <c r="B109" s="208"/>
      <c r="C109" s="488"/>
      <c r="D109" s="484">
        <v>4531</v>
      </c>
      <c r="E109" s="369" t="s">
        <v>164</v>
      </c>
      <c r="F109" s="370"/>
      <c r="G109" s="210">
        <f t="shared" si="52"/>
        <v>0</v>
      </c>
      <c r="H109" s="370"/>
      <c r="I109" s="210">
        <f>AVERAGE(H109/H74*100)</f>
        <v>0</v>
      </c>
      <c r="J109" s="581">
        <f t="shared" si="41"/>
        <v>0</v>
      </c>
      <c r="K109" s="370"/>
      <c r="L109" s="210">
        <f>AVERAGE(K109/K74*100)</f>
        <v>0</v>
      </c>
      <c r="M109" s="211"/>
      <c r="N109" s="489"/>
      <c r="O109" s="420"/>
      <c r="P109" s="490"/>
      <c r="Q109" s="490"/>
      <c r="R109" s="490"/>
      <c r="S109" s="491"/>
      <c r="T109" s="565"/>
      <c r="U109" s="491"/>
      <c r="V109" s="485">
        <f t="shared" si="59"/>
        <v>0</v>
      </c>
    </row>
    <row r="110" spans="1:22" ht="16.5" hidden="1" thickTop="1" thickBot="1" x14ac:dyDescent="0.3">
      <c r="A110" s="207"/>
      <c r="B110" s="208"/>
      <c r="C110" s="208">
        <v>454</v>
      </c>
      <c r="D110" s="208"/>
      <c r="E110" s="535" t="s">
        <v>165</v>
      </c>
      <c r="F110" s="536"/>
      <c r="G110" s="537">
        <f>AVERAGE(F110/F74*100)</f>
        <v>0</v>
      </c>
      <c r="H110" s="538"/>
      <c r="I110" s="537">
        <f>AVERAGE(H110/H74*100)</f>
        <v>0</v>
      </c>
      <c r="J110" s="537"/>
      <c r="K110" s="538"/>
      <c r="L110" s="537">
        <f>AVERAGE(K110/K74*100)</f>
        <v>0</v>
      </c>
      <c r="M110" s="539" t="e">
        <f>AVERAGE(K110/H110)*100</f>
        <v>#DIV/0!</v>
      </c>
      <c r="N110" s="540"/>
      <c r="O110" s="541"/>
      <c r="P110" s="542"/>
      <c r="Q110" s="542"/>
      <c r="R110" s="542"/>
      <c r="S110" s="543"/>
      <c r="T110" s="544"/>
      <c r="U110" s="544"/>
      <c r="V110" s="444">
        <f t="shared" si="59"/>
        <v>0</v>
      </c>
    </row>
    <row r="111" spans="1:22" ht="15.75" thickTop="1" x14ac:dyDescent="0.25">
      <c r="A111" s="212"/>
      <c r="B111" s="212"/>
      <c r="C111" s="212"/>
      <c r="D111" s="212"/>
      <c r="E111" s="127"/>
      <c r="F111" s="325"/>
      <c r="G111" s="372"/>
      <c r="H111" s="457"/>
      <c r="I111" s="372"/>
      <c r="J111" s="372"/>
      <c r="K111" s="457"/>
      <c r="L111" s="372"/>
      <c r="M111" s="373"/>
      <c r="N111" s="431"/>
      <c r="O111" s="431"/>
      <c r="P111" s="431"/>
      <c r="Q111" s="431"/>
      <c r="R111" s="431"/>
      <c r="S111" s="431"/>
      <c r="T111" s="431"/>
      <c r="U111" s="431"/>
    </row>
    <row r="112" spans="1:22" x14ac:dyDescent="0.25">
      <c r="A112" s="212"/>
      <c r="B112" s="212"/>
      <c r="C112" s="212"/>
      <c r="D112" s="212"/>
      <c r="E112" s="127"/>
      <c r="F112" s="127"/>
      <c r="G112" s="127"/>
      <c r="H112" s="458"/>
      <c r="I112" s="127"/>
      <c r="J112" s="127"/>
      <c r="K112" s="458"/>
      <c r="L112" s="127"/>
      <c r="M112" s="127"/>
      <c r="N112" s="432"/>
      <c r="O112" s="432"/>
      <c r="P112" s="432"/>
      <c r="Q112" s="432"/>
      <c r="R112" s="432"/>
      <c r="S112" s="432"/>
      <c r="T112" s="432"/>
      <c r="U112" s="432"/>
    </row>
    <row r="113" spans="1:21" x14ac:dyDescent="0.25">
      <c r="A113" s="212"/>
      <c r="B113" s="212"/>
      <c r="C113" s="212"/>
      <c r="D113" s="212"/>
      <c r="E113" s="127"/>
      <c r="F113" s="213"/>
      <c r="G113" s="127"/>
      <c r="H113" s="459"/>
      <c r="I113" s="127"/>
      <c r="J113" s="127"/>
      <c r="K113" s="459"/>
      <c r="L113" s="213"/>
      <c r="M113" s="127"/>
      <c r="N113" s="431"/>
      <c r="O113" s="431"/>
      <c r="P113" s="431"/>
      <c r="Q113" s="431"/>
      <c r="R113" s="431"/>
      <c r="S113" s="431"/>
      <c r="T113" s="431"/>
      <c r="U113" s="431"/>
    </row>
    <row r="114" spans="1:21" x14ac:dyDescent="0.25">
      <c r="A114" s="212"/>
      <c r="B114" s="212"/>
      <c r="C114" s="212"/>
      <c r="D114" s="212"/>
      <c r="E114" s="127"/>
      <c r="F114" s="127"/>
      <c r="G114" s="127"/>
      <c r="H114" s="458"/>
      <c r="I114" s="127"/>
      <c r="J114" s="127"/>
      <c r="K114" s="458"/>
      <c r="L114" s="127"/>
      <c r="M114" s="127"/>
      <c r="N114" s="431"/>
      <c r="O114" s="431"/>
      <c r="P114" s="431"/>
      <c r="Q114" s="431"/>
      <c r="R114" s="431"/>
      <c r="S114" s="431"/>
      <c r="T114" s="431"/>
      <c r="U114" s="431"/>
    </row>
    <row r="115" spans="1:21" x14ac:dyDescent="0.25">
      <c r="A115" s="212"/>
      <c r="B115" s="212"/>
      <c r="C115" s="212"/>
      <c r="D115" s="212"/>
      <c r="E115" s="127"/>
      <c r="F115" s="127"/>
      <c r="G115" s="127"/>
      <c r="H115" s="458"/>
      <c r="I115" s="127"/>
      <c r="J115" s="127"/>
      <c r="K115" s="458"/>
      <c r="L115" s="127"/>
      <c r="M115" s="127"/>
      <c r="N115" s="431"/>
      <c r="O115" s="431"/>
      <c r="P115" s="431"/>
      <c r="Q115" s="431"/>
      <c r="R115" s="431"/>
      <c r="S115" s="431"/>
      <c r="T115" s="431"/>
      <c r="U115" s="431"/>
    </row>
    <row r="116" spans="1:21" x14ac:dyDescent="0.25">
      <c r="A116" s="212"/>
      <c r="B116" s="212"/>
      <c r="C116" s="212"/>
      <c r="D116" s="212"/>
      <c r="E116" s="127"/>
      <c r="F116" s="127"/>
      <c r="G116" s="127"/>
      <c r="H116" s="458"/>
      <c r="I116" s="127"/>
      <c r="J116" s="127"/>
      <c r="K116" s="458"/>
      <c r="L116" s="127"/>
      <c r="M116" s="127"/>
      <c r="N116" s="431"/>
      <c r="O116" s="431"/>
      <c r="P116" s="431"/>
      <c r="Q116" s="431"/>
      <c r="R116" s="431"/>
      <c r="S116" s="431"/>
      <c r="T116" s="431"/>
      <c r="U116" s="431"/>
    </row>
    <row r="117" spans="1:21" x14ac:dyDescent="0.25">
      <c r="A117" s="212"/>
      <c r="B117" s="212"/>
      <c r="C117" s="212"/>
      <c r="D117" s="212"/>
      <c r="E117" s="127"/>
      <c r="F117" s="127"/>
      <c r="G117" s="127"/>
      <c r="H117" s="458"/>
      <c r="I117" s="127"/>
      <c r="J117" s="127"/>
      <c r="K117" s="458"/>
      <c r="L117" s="127"/>
      <c r="M117" s="127"/>
      <c r="N117" s="431"/>
      <c r="O117" s="431"/>
      <c r="P117" s="431"/>
      <c r="Q117" s="431"/>
      <c r="R117" s="431"/>
      <c r="S117" s="431"/>
      <c r="T117" s="431"/>
      <c r="U117" s="431"/>
    </row>
    <row r="118" spans="1:21" x14ac:dyDescent="0.25">
      <c r="A118" s="212"/>
      <c r="B118" s="212"/>
      <c r="C118" s="212"/>
      <c r="D118" s="212"/>
      <c r="E118" s="127"/>
      <c r="F118" s="127"/>
      <c r="G118" s="127"/>
      <c r="H118" s="458"/>
      <c r="I118" s="127"/>
      <c r="J118" s="127"/>
      <c r="K118" s="458"/>
      <c r="L118" s="127"/>
      <c r="M118" s="127"/>
      <c r="N118" s="431"/>
      <c r="O118" s="431"/>
      <c r="P118" s="431"/>
      <c r="Q118" s="431"/>
      <c r="R118" s="431"/>
      <c r="S118" s="431"/>
      <c r="T118" s="431"/>
      <c r="U118" s="431"/>
    </row>
    <row r="119" spans="1:21" x14ac:dyDescent="0.25">
      <c r="A119" s="212"/>
      <c r="B119" s="212"/>
      <c r="C119" s="212"/>
      <c r="D119" s="212"/>
      <c r="E119" s="127"/>
      <c r="F119" s="127"/>
      <c r="G119" s="127"/>
      <c r="H119" s="458"/>
      <c r="I119" s="127"/>
      <c r="J119" s="127"/>
      <c r="K119" s="458"/>
      <c r="L119" s="127"/>
      <c r="M119" s="127"/>
      <c r="N119" s="431"/>
      <c r="O119" s="431"/>
      <c r="P119" s="431"/>
      <c r="Q119" s="431"/>
      <c r="R119" s="431"/>
      <c r="S119" s="431"/>
      <c r="T119" s="431"/>
      <c r="U119" s="431"/>
    </row>
    <row r="120" spans="1:21" x14ac:dyDescent="0.25">
      <c r="A120" s="212"/>
      <c r="B120" s="212"/>
      <c r="C120" s="212"/>
      <c r="D120" s="212"/>
      <c r="E120" s="127"/>
      <c r="F120" s="127"/>
      <c r="G120" s="127"/>
      <c r="H120" s="458"/>
      <c r="I120" s="127"/>
      <c r="J120" s="127"/>
      <c r="K120" s="458"/>
      <c r="L120" s="127"/>
      <c r="M120" s="127"/>
      <c r="N120" s="431"/>
      <c r="O120" s="431"/>
      <c r="P120" s="431"/>
      <c r="Q120" s="431"/>
      <c r="R120" s="431"/>
      <c r="S120" s="431"/>
      <c r="T120" s="431"/>
      <c r="U120" s="431"/>
    </row>
    <row r="121" spans="1:21" x14ac:dyDescent="0.25">
      <c r="A121" s="212"/>
      <c r="B121" s="212"/>
      <c r="C121" s="212"/>
      <c r="D121" s="212"/>
      <c r="E121" s="127"/>
      <c r="F121" s="127"/>
      <c r="G121" s="127"/>
      <c r="H121" s="458"/>
      <c r="I121" s="127"/>
      <c r="J121" s="127"/>
      <c r="K121" s="458"/>
      <c r="L121" s="127"/>
      <c r="M121" s="127"/>
      <c r="N121" s="431"/>
      <c r="O121" s="431"/>
      <c r="P121" s="431"/>
      <c r="Q121" s="431"/>
      <c r="R121" s="431"/>
      <c r="S121" s="431"/>
      <c r="T121" s="431"/>
      <c r="U121" s="431"/>
    </row>
    <row r="122" spans="1:21" x14ac:dyDescent="0.25">
      <c r="A122" s="212"/>
      <c r="B122" s="212"/>
      <c r="C122" s="212"/>
      <c r="D122" s="212"/>
      <c r="E122" s="127"/>
      <c r="F122" s="127"/>
      <c r="G122" s="127"/>
      <c r="H122" s="458"/>
      <c r="I122" s="127"/>
      <c r="J122" s="127"/>
      <c r="K122" s="458"/>
      <c r="L122" s="127"/>
      <c r="M122" s="127"/>
      <c r="N122" s="431"/>
      <c r="O122" s="431"/>
      <c r="P122" s="431"/>
      <c r="Q122" s="431"/>
      <c r="R122" s="431"/>
      <c r="S122" s="431"/>
      <c r="T122" s="431"/>
      <c r="U122" s="431"/>
    </row>
    <row r="123" spans="1:21" x14ac:dyDescent="0.25">
      <c r="A123" s="212"/>
      <c r="B123" s="212"/>
      <c r="C123" s="212"/>
      <c r="D123" s="212"/>
      <c r="E123" s="127"/>
      <c r="F123" s="127"/>
      <c r="G123" s="127"/>
      <c r="H123" s="458"/>
      <c r="I123" s="127"/>
      <c r="J123" s="127"/>
      <c r="K123" s="458"/>
      <c r="L123" s="127"/>
      <c r="M123" s="127"/>
      <c r="N123" s="431"/>
      <c r="O123" s="431"/>
      <c r="P123" s="431"/>
      <c r="Q123" s="431"/>
      <c r="R123" s="431"/>
      <c r="S123" s="431"/>
      <c r="T123" s="431"/>
      <c r="U123" s="431"/>
    </row>
    <row r="124" spans="1:21" x14ac:dyDescent="0.25">
      <c r="A124" s="212"/>
      <c r="B124" s="212"/>
      <c r="C124" s="212"/>
      <c r="D124" s="212"/>
      <c r="N124" s="431"/>
      <c r="O124" s="431"/>
      <c r="P124" s="431"/>
      <c r="Q124" s="431"/>
      <c r="R124" s="431"/>
      <c r="S124" s="431"/>
      <c r="T124" s="431"/>
      <c r="U124" s="431"/>
    </row>
    <row r="125" spans="1:21" x14ac:dyDescent="0.25">
      <c r="A125" s="212"/>
      <c r="B125" s="212"/>
      <c r="C125" s="212"/>
      <c r="D125" s="212"/>
      <c r="N125" s="431"/>
      <c r="O125" s="431"/>
      <c r="P125" s="431"/>
      <c r="Q125" s="431"/>
      <c r="R125" s="431"/>
      <c r="S125" s="431"/>
      <c r="T125" s="431"/>
      <c r="U125" s="431"/>
    </row>
    <row r="126" spans="1:21" x14ac:dyDescent="0.25">
      <c r="A126" s="212"/>
      <c r="B126" s="212"/>
      <c r="C126" s="212"/>
      <c r="D126" s="212"/>
      <c r="N126" s="431"/>
      <c r="O126" s="431"/>
      <c r="P126" s="431"/>
      <c r="Q126" s="431"/>
      <c r="R126" s="431"/>
      <c r="S126" s="431"/>
      <c r="T126" s="431"/>
      <c r="U126" s="431"/>
    </row>
    <row r="127" spans="1:21" x14ac:dyDescent="0.25">
      <c r="A127" s="212"/>
      <c r="B127" s="212"/>
      <c r="C127" s="212"/>
      <c r="D127" s="212"/>
      <c r="N127" s="431"/>
      <c r="O127" s="431"/>
      <c r="P127" s="431"/>
      <c r="Q127" s="431"/>
      <c r="R127" s="431"/>
      <c r="S127" s="431"/>
      <c r="T127" s="431"/>
      <c r="U127" s="431"/>
    </row>
    <row r="128" spans="1:21" x14ac:dyDescent="0.25">
      <c r="A128" s="212"/>
      <c r="B128" s="212"/>
      <c r="C128" s="212"/>
      <c r="D128" s="212"/>
      <c r="N128" s="431"/>
      <c r="O128" s="431"/>
      <c r="P128" s="431"/>
      <c r="Q128" s="431"/>
      <c r="R128" s="431"/>
      <c r="S128" s="431"/>
      <c r="T128" s="431"/>
      <c r="U128" s="431"/>
    </row>
    <row r="129" spans="1:21" x14ac:dyDescent="0.25">
      <c r="A129" s="212"/>
      <c r="B129" s="212"/>
      <c r="C129" s="212"/>
      <c r="D129" s="212"/>
      <c r="N129" s="431"/>
      <c r="O129" s="431"/>
      <c r="P129" s="431"/>
      <c r="Q129" s="431"/>
      <c r="R129" s="431"/>
      <c r="S129" s="431"/>
      <c r="T129" s="431"/>
      <c r="U129" s="431"/>
    </row>
    <row r="130" spans="1:21" x14ac:dyDescent="0.25">
      <c r="A130" s="212"/>
      <c r="B130" s="212"/>
      <c r="C130" s="212"/>
      <c r="D130" s="212"/>
      <c r="N130" s="431"/>
      <c r="O130" s="431"/>
      <c r="P130" s="431"/>
      <c r="Q130" s="431"/>
      <c r="R130" s="431"/>
      <c r="S130" s="431"/>
      <c r="T130" s="431"/>
      <c r="U130" s="431"/>
    </row>
    <row r="131" spans="1:21" x14ac:dyDescent="0.25">
      <c r="A131" s="212"/>
      <c r="B131" s="212"/>
      <c r="C131" s="212"/>
      <c r="D131" s="212"/>
      <c r="N131" s="431"/>
      <c r="O131" s="431"/>
      <c r="P131" s="431"/>
      <c r="Q131" s="431"/>
      <c r="R131" s="431"/>
      <c r="S131" s="431"/>
      <c r="T131" s="431"/>
      <c r="U131" s="431"/>
    </row>
    <row r="132" spans="1:21" x14ac:dyDescent="0.25">
      <c r="A132" s="212"/>
      <c r="B132" s="212"/>
      <c r="C132" s="212"/>
      <c r="D132" s="212"/>
      <c r="N132" s="431"/>
      <c r="O132" s="431"/>
      <c r="P132" s="431"/>
      <c r="Q132" s="431"/>
      <c r="R132" s="431"/>
      <c r="S132" s="431"/>
      <c r="T132" s="431"/>
      <c r="U132" s="431"/>
    </row>
    <row r="133" spans="1:21" x14ac:dyDescent="0.25">
      <c r="A133" s="212"/>
      <c r="B133" s="212"/>
      <c r="C133" s="212"/>
      <c r="D133" s="212"/>
      <c r="N133" s="431"/>
      <c r="O133" s="431"/>
      <c r="P133" s="431"/>
      <c r="Q133" s="431"/>
      <c r="R133" s="431"/>
      <c r="S133" s="431"/>
      <c r="T133" s="431"/>
      <c r="U133" s="431"/>
    </row>
    <row r="134" spans="1:21" x14ac:dyDescent="0.25">
      <c r="A134" s="212"/>
      <c r="B134" s="212"/>
      <c r="C134" s="212"/>
      <c r="D134" s="212"/>
      <c r="N134" s="431"/>
      <c r="O134" s="431"/>
      <c r="P134" s="431"/>
      <c r="Q134" s="431"/>
      <c r="R134" s="431"/>
      <c r="S134" s="431"/>
      <c r="T134" s="431"/>
      <c r="U134" s="431"/>
    </row>
    <row r="135" spans="1:21" x14ac:dyDescent="0.25">
      <c r="A135" s="212"/>
      <c r="B135" s="212"/>
      <c r="C135" s="212"/>
      <c r="D135" s="212"/>
      <c r="N135" s="431"/>
      <c r="O135" s="431"/>
      <c r="P135" s="431"/>
      <c r="Q135" s="431"/>
      <c r="R135" s="431"/>
      <c r="S135" s="431"/>
      <c r="T135" s="431"/>
      <c r="U135" s="431"/>
    </row>
    <row r="136" spans="1:21" x14ac:dyDescent="0.25">
      <c r="A136" s="212"/>
      <c r="B136" s="212"/>
      <c r="C136" s="212"/>
      <c r="D136" s="212"/>
      <c r="N136" s="431"/>
      <c r="O136" s="431"/>
      <c r="P136" s="431"/>
      <c r="Q136" s="431"/>
      <c r="R136" s="431"/>
      <c r="S136" s="431"/>
      <c r="T136" s="431"/>
      <c r="U136" s="431"/>
    </row>
    <row r="137" spans="1:21" x14ac:dyDescent="0.25">
      <c r="A137" s="212"/>
      <c r="B137" s="212"/>
      <c r="C137" s="212"/>
      <c r="D137" s="212"/>
      <c r="N137" s="431"/>
      <c r="O137" s="431"/>
      <c r="P137" s="431"/>
      <c r="Q137" s="431"/>
      <c r="R137" s="431"/>
      <c r="S137" s="431"/>
      <c r="T137" s="431"/>
      <c r="U137" s="431"/>
    </row>
    <row r="138" spans="1:21" x14ac:dyDescent="0.25">
      <c r="A138" s="212"/>
      <c r="B138" s="212"/>
      <c r="C138" s="212"/>
      <c r="D138" s="212"/>
      <c r="N138" s="431"/>
      <c r="O138" s="431"/>
      <c r="P138" s="431"/>
      <c r="Q138" s="431"/>
      <c r="R138" s="431"/>
      <c r="S138" s="431"/>
      <c r="T138" s="431"/>
      <c r="U138" s="431"/>
    </row>
    <row r="139" spans="1:21" x14ac:dyDescent="0.25">
      <c r="A139" s="212"/>
      <c r="B139" s="212"/>
      <c r="C139" s="212"/>
      <c r="D139" s="212"/>
      <c r="N139" s="431"/>
      <c r="O139" s="431"/>
      <c r="P139" s="431"/>
      <c r="Q139" s="431"/>
      <c r="R139" s="431"/>
      <c r="S139" s="431"/>
      <c r="T139" s="431"/>
      <c r="U139" s="431"/>
    </row>
    <row r="140" spans="1:21" x14ac:dyDescent="0.25">
      <c r="A140" s="212"/>
      <c r="B140" s="212"/>
      <c r="C140" s="212"/>
      <c r="D140" s="212"/>
      <c r="N140" s="431"/>
      <c r="O140" s="431"/>
      <c r="P140" s="431"/>
      <c r="Q140" s="431"/>
      <c r="R140" s="431"/>
      <c r="S140" s="431"/>
      <c r="T140" s="431"/>
      <c r="U140" s="431"/>
    </row>
    <row r="141" spans="1:21" x14ac:dyDescent="0.25">
      <c r="A141" s="212"/>
      <c r="B141" s="212"/>
      <c r="C141" s="212"/>
      <c r="D141" s="212"/>
      <c r="N141" s="431"/>
      <c r="O141" s="431"/>
      <c r="P141" s="431"/>
      <c r="Q141" s="431"/>
      <c r="R141" s="431"/>
      <c r="S141" s="431"/>
      <c r="T141" s="431"/>
      <c r="U141" s="431"/>
    </row>
    <row r="142" spans="1:21" x14ac:dyDescent="0.25">
      <c r="A142" s="212"/>
      <c r="B142" s="212"/>
      <c r="C142" s="212"/>
      <c r="D142" s="212"/>
      <c r="N142" s="431"/>
      <c r="O142" s="431"/>
      <c r="P142" s="431"/>
      <c r="Q142" s="431"/>
      <c r="R142" s="431"/>
      <c r="S142" s="431"/>
      <c r="T142" s="431"/>
      <c r="U142" s="431"/>
    </row>
    <row r="143" spans="1:21" x14ac:dyDescent="0.25">
      <c r="A143" s="212"/>
      <c r="B143" s="212"/>
      <c r="C143" s="212"/>
      <c r="D143" s="212"/>
      <c r="N143" s="431"/>
      <c r="O143" s="431"/>
      <c r="P143" s="431"/>
      <c r="Q143" s="431"/>
      <c r="R143" s="431"/>
      <c r="S143" s="431"/>
      <c r="T143" s="431"/>
      <c r="U143" s="431"/>
    </row>
    <row r="144" spans="1:21" x14ac:dyDescent="0.25">
      <c r="A144" s="212"/>
      <c r="B144" s="212"/>
      <c r="C144" s="212"/>
      <c r="D144" s="212"/>
      <c r="N144" s="431"/>
      <c r="O144" s="431"/>
      <c r="P144" s="431"/>
      <c r="Q144" s="431"/>
      <c r="R144" s="431"/>
      <c r="S144" s="431"/>
      <c r="T144" s="431"/>
      <c r="U144" s="431"/>
    </row>
    <row r="145" spans="1:21" x14ac:dyDescent="0.25">
      <c r="A145" s="212"/>
      <c r="B145" s="212"/>
      <c r="C145" s="212"/>
      <c r="D145" s="212"/>
      <c r="N145" s="431"/>
      <c r="O145" s="431"/>
      <c r="P145" s="431"/>
      <c r="Q145" s="431"/>
      <c r="R145" s="431"/>
      <c r="S145" s="431"/>
      <c r="T145" s="431"/>
      <c r="U145" s="431"/>
    </row>
    <row r="146" spans="1:21" x14ac:dyDescent="0.25">
      <c r="A146" s="212"/>
      <c r="B146" s="212"/>
      <c r="C146" s="212"/>
      <c r="D146" s="212"/>
      <c r="N146" s="431"/>
      <c r="O146" s="431"/>
      <c r="P146" s="431"/>
      <c r="Q146" s="431"/>
      <c r="R146" s="431"/>
      <c r="S146" s="431"/>
      <c r="T146" s="431"/>
      <c r="U146" s="431"/>
    </row>
    <row r="147" spans="1:21" x14ac:dyDescent="0.25">
      <c r="A147" s="212"/>
      <c r="B147" s="212"/>
      <c r="C147" s="212"/>
      <c r="D147" s="212"/>
      <c r="N147" s="431"/>
      <c r="O147" s="431"/>
      <c r="P147" s="431"/>
      <c r="Q147" s="431"/>
      <c r="R147" s="431"/>
      <c r="S147" s="431"/>
      <c r="T147" s="431"/>
      <c r="U147" s="431"/>
    </row>
    <row r="148" spans="1:21" x14ac:dyDescent="0.25">
      <c r="A148" s="212"/>
      <c r="B148" s="212"/>
      <c r="C148" s="212"/>
      <c r="D148" s="212"/>
      <c r="N148" s="431"/>
      <c r="O148" s="431"/>
      <c r="P148" s="431"/>
      <c r="Q148" s="431"/>
      <c r="R148" s="431"/>
      <c r="S148" s="431"/>
      <c r="T148" s="431"/>
      <c r="U148" s="431"/>
    </row>
    <row r="149" spans="1:21" x14ac:dyDescent="0.25">
      <c r="A149" s="212"/>
      <c r="B149" s="212"/>
      <c r="C149" s="212"/>
      <c r="D149" s="212"/>
      <c r="N149" s="431"/>
      <c r="O149" s="431"/>
      <c r="P149" s="431"/>
      <c r="Q149" s="431"/>
      <c r="R149" s="431"/>
      <c r="S149" s="431"/>
      <c r="T149" s="431"/>
      <c r="U149" s="431"/>
    </row>
    <row r="150" spans="1:21" x14ac:dyDescent="0.25">
      <c r="A150" s="212"/>
      <c r="B150" s="212"/>
      <c r="C150" s="212"/>
      <c r="D150" s="212"/>
      <c r="N150" s="431"/>
      <c r="O150" s="431"/>
      <c r="P150" s="431"/>
      <c r="Q150" s="431"/>
      <c r="R150" s="431"/>
      <c r="S150" s="431"/>
      <c r="T150" s="431"/>
      <c r="U150" s="431"/>
    </row>
    <row r="151" spans="1:21" x14ac:dyDescent="0.25">
      <c r="A151" s="212"/>
      <c r="B151" s="212"/>
      <c r="C151" s="212"/>
      <c r="D151" s="212"/>
      <c r="N151" s="431"/>
      <c r="O151" s="431"/>
      <c r="P151" s="431"/>
      <c r="Q151" s="431"/>
      <c r="R151" s="431"/>
      <c r="S151" s="431"/>
      <c r="T151" s="431"/>
      <c r="U151" s="431"/>
    </row>
    <row r="152" spans="1:21" x14ac:dyDescent="0.25">
      <c r="A152" s="212"/>
      <c r="B152" s="212"/>
      <c r="C152" s="212"/>
      <c r="D152" s="212"/>
      <c r="N152" s="431"/>
      <c r="O152" s="431"/>
      <c r="P152" s="431"/>
      <c r="Q152" s="431"/>
      <c r="R152" s="431"/>
      <c r="S152" s="431"/>
      <c r="T152" s="431"/>
      <c r="U152" s="431"/>
    </row>
    <row r="153" spans="1:21" x14ac:dyDescent="0.25">
      <c r="A153" s="212"/>
      <c r="B153" s="212"/>
      <c r="C153" s="212"/>
      <c r="D153" s="212"/>
      <c r="N153" s="431"/>
      <c r="O153" s="431"/>
      <c r="P153" s="431"/>
      <c r="Q153" s="431"/>
      <c r="R153" s="431"/>
      <c r="S153" s="431"/>
      <c r="T153" s="431"/>
      <c r="U153" s="431"/>
    </row>
    <row r="154" spans="1:21" x14ac:dyDescent="0.25">
      <c r="A154" s="212"/>
      <c r="B154" s="212"/>
      <c r="C154" s="212"/>
      <c r="D154" s="212"/>
      <c r="N154" s="431"/>
      <c r="O154" s="431"/>
      <c r="P154" s="431"/>
      <c r="Q154" s="431"/>
      <c r="R154" s="431"/>
      <c r="S154" s="431"/>
      <c r="T154" s="431"/>
      <c r="U154" s="431"/>
    </row>
    <row r="155" spans="1:21" x14ac:dyDescent="0.25">
      <c r="A155" s="212"/>
      <c r="B155" s="212"/>
      <c r="C155" s="212"/>
      <c r="D155" s="212"/>
      <c r="N155" s="431"/>
      <c r="O155" s="431"/>
      <c r="P155" s="431"/>
      <c r="Q155" s="431"/>
      <c r="R155" s="431"/>
      <c r="S155" s="431"/>
      <c r="T155" s="431"/>
      <c r="U155" s="431"/>
    </row>
    <row r="156" spans="1:21" x14ac:dyDescent="0.25">
      <c r="A156" s="212"/>
      <c r="B156" s="212"/>
      <c r="C156" s="212"/>
      <c r="D156" s="212"/>
      <c r="N156" s="431"/>
      <c r="O156" s="431"/>
      <c r="P156" s="431"/>
      <c r="Q156" s="431"/>
      <c r="R156" s="431"/>
      <c r="S156" s="431"/>
      <c r="T156" s="431"/>
      <c r="U156" s="431"/>
    </row>
    <row r="157" spans="1:21" x14ac:dyDescent="0.25">
      <c r="A157" s="212"/>
      <c r="B157" s="212"/>
      <c r="C157" s="212"/>
      <c r="D157" s="212"/>
      <c r="N157" s="431"/>
      <c r="O157" s="431"/>
      <c r="P157" s="431"/>
      <c r="Q157" s="431"/>
      <c r="R157" s="431"/>
      <c r="S157" s="431"/>
      <c r="T157" s="431"/>
      <c r="U157" s="431"/>
    </row>
    <row r="158" spans="1:21" x14ac:dyDescent="0.25">
      <c r="A158" s="212"/>
      <c r="B158" s="212"/>
      <c r="C158" s="212"/>
      <c r="D158" s="212"/>
      <c r="N158" s="431"/>
      <c r="O158" s="431"/>
      <c r="P158" s="431"/>
      <c r="Q158" s="431"/>
      <c r="R158" s="431"/>
      <c r="S158" s="431"/>
      <c r="T158" s="431"/>
      <c r="U158" s="431"/>
    </row>
    <row r="159" spans="1:21" x14ac:dyDescent="0.25">
      <c r="A159" s="212"/>
      <c r="B159" s="212"/>
      <c r="C159" s="212"/>
      <c r="D159" s="212"/>
      <c r="N159" s="431"/>
      <c r="O159" s="431"/>
      <c r="P159" s="431"/>
      <c r="Q159" s="431"/>
      <c r="R159" s="431"/>
      <c r="S159" s="431"/>
      <c r="T159" s="431"/>
      <c r="U159" s="431"/>
    </row>
    <row r="160" spans="1:21" x14ac:dyDescent="0.25">
      <c r="A160" s="212"/>
      <c r="B160" s="212"/>
      <c r="C160" s="212"/>
      <c r="D160" s="212"/>
      <c r="N160" s="431"/>
      <c r="O160" s="431"/>
      <c r="P160" s="431"/>
      <c r="Q160" s="431"/>
      <c r="R160" s="431"/>
      <c r="S160" s="431"/>
      <c r="T160" s="431"/>
      <c r="U160" s="431"/>
    </row>
    <row r="161" spans="1:21" x14ac:dyDescent="0.25">
      <c r="A161" s="212"/>
      <c r="B161" s="212"/>
      <c r="C161" s="212"/>
      <c r="D161" s="212"/>
      <c r="N161" s="431"/>
      <c r="O161" s="431"/>
      <c r="P161" s="431"/>
      <c r="Q161" s="431"/>
      <c r="R161" s="431"/>
      <c r="S161" s="431"/>
      <c r="T161" s="431"/>
      <c r="U161" s="431"/>
    </row>
    <row r="162" spans="1:21" x14ac:dyDescent="0.25">
      <c r="A162" s="212"/>
      <c r="B162" s="212"/>
      <c r="C162" s="212"/>
      <c r="D162" s="212"/>
      <c r="N162" s="431"/>
      <c r="O162" s="431"/>
      <c r="P162" s="431"/>
      <c r="Q162" s="431"/>
      <c r="R162" s="431"/>
      <c r="S162" s="431"/>
      <c r="T162" s="431"/>
      <c r="U162" s="431"/>
    </row>
    <row r="163" spans="1:21" x14ac:dyDescent="0.25">
      <c r="A163" s="212"/>
      <c r="B163" s="212"/>
      <c r="C163" s="212"/>
      <c r="D163" s="212"/>
      <c r="N163" s="431"/>
      <c r="O163" s="431"/>
      <c r="P163" s="431"/>
      <c r="Q163" s="431"/>
      <c r="R163" s="431"/>
      <c r="S163" s="431"/>
      <c r="T163" s="431"/>
      <c r="U163" s="431"/>
    </row>
    <row r="164" spans="1:21" x14ac:dyDescent="0.25">
      <c r="A164" s="212"/>
      <c r="B164" s="212"/>
      <c r="C164" s="212"/>
      <c r="D164" s="212"/>
      <c r="N164" s="431"/>
      <c r="O164" s="431"/>
      <c r="P164" s="431"/>
      <c r="Q164" s="431"/>
      <c r="R164" s="431"/>
      <c r="S164" s="431"/>
      <c r="T164" s="431"/>
      <c r="U164" s="431"/>
    </row>
    <row r="165" spans="1:21" x14ac:dyDescent="0.25">
      <c r="A165" s="212"/>
      <c r="B165" s="212"/>
      <c r="C165" s="212"/>
      <c r="D165" s="212"/>
      <c r="N165" s="431"/>
      <c r="O165" s="431"/>
      <c r="P165" s="431"/>
      <c r="Q165" s="431"/>
      <c r="R165" s="431"/>
      <c r="S165" s="431"/>
      <c r="T165" s="431"/>
      <c r="U165" s="431"/>
    </row>
    <row r="166" spans="1:21" x14ac:dyDescent="0.25">
      <c r="A166" s="212"/>
      <c r="B166" s="212"/>
      <c r="C166" s="212"/>
      <c r="D166" s="212"/>
      <c r="N166" s="431"/>
      <c r="O166" s="431"/>
      <c r="P166" s="431"/>
      <c r="Q166" s="431"/>
      <c r="R166" s="431"/>
      <c r="S166" s="431"/>
      <c r="T166" s="431"/>
      <c r="U166" s="431"/>
    </row>
    <row r="167" spans="1:21" x14ac:dyDescent="0.25">
      <c r="A167" s="212"/>
      <c r="B167" s="212"/>
      <c r="C167" s="212"/>
      <c r="D167" s="212"/>
      <c r="N167" s="431"/>
      <c r="O167" s="431"/>
      <c r="P167" s="431"/>
      <c r="Q167" s="431"/>
      <c r="R167" s="431"/>
      <c r="S167" s="431"/>
      <c r="T167" s="431"/>
      <c r="U167" s="431"/>
    </row>
    <row r="168" spans="1:21" x14ac:dyDescent="0.25">
      <c r="A168" s="212"/>
      <c r="B168" s="212"/>
      <c r="C168" s="212"/>
      <c r="D168" s="212"/>
      <c r="N168" s="431"/>
      <c r="O168" s="431"/>
      <c r="P168" s="431"/>
      <c r="Q168" s="431"/>
      <c r="R168" s="431"/>
      <c r="S168" s="431"/>
      <c r="T168" s="431"/>
      <c r="U168" s="431"/>
    </row>
    <row r="169" spans="1:21" x14ac:dyDescent="0.25">
      <c r="A169" s="212"/>
      <c r="B169" s="212"/>
      <c r="C169" s="212"/>
      <c r="D169" s="212"/>
      <c r="N169" s="431"/>
      <c r="O169" s="431"/>
      <c r="P169" s="431"/>
      <c r="Q169" s="431"/>
      <c r="R169" s="431"/>
      <c r="S169" s="431"/>
      <c r="T169" s="431"/>
      <c r="U169" s="431"/>
    </row>
    <row r="170" spans="1:21" x14ac:dyDescent="0.25">
      <c r="A170" s="212"/>
      <c r="B170" s="212"/>
      <c r="C170" s="212"/>
      <c r="D170" s="212"/>
      <c r="N170" s="431"/>
      <c r="O170" s="431"/>
      <c r="P170" s="431"/>
      <c r="Q170" s="431"/>
      <c r="R170" s="431"/>
      <c r="S170" s="431"/>
      <c r="T170" s="431"/>
      <c r="U170" s="431"/>
    </row>
    <row r="171" spans="1:21" x14ac:dyDescent="0.25">
      <c r="A171" s="212"/>
      <c r="B171" s="212"/>
      <c r="C171" s="212"/>
      <c r="D171" s="212"/>
      <c r="N171" s="431"/>
      <c r="O171" s="431"/>
      <c r="P171" s="431"/>
      <c r="Q171" s="431"/>
      <c r="R171" s="431"/>
      <c r="S171" s="431"/>
      <c r="T171" s="431"/>
      <c r="U171" s="431"/>
    </row>
    <row r="172" spans="1:21" x14ac:dyDescent="0.25">
      <c r="A172" s="212"/>
      <c r="B172" s="212"/>
      <c r="C172" s="212"/>
      <c r="D172" s="212"/>
      <c r="N172" s="431"/>
      <c r="O172" s="431"/>
      <c r="P172" s="431"/>
      <c r="Q172" s="431"/>
      <c r="R172" s="431"/>
      <c r="S172" s="431"/>
      <c r="T172" s="431"/>
      <c r="U172" s="431"/>
    </row>
    <row r="173" spans="1:21" x14ac:dyDescent="0.25">
      <c r="A173" s="212"/>
      <c r="B173" s="212"/>
      <c r="C173" s="212"/>
      <c r="D173" s="212"/>
      <c r="N173" s="431"/>
      <c r="O173" s="431"/>
      <c r="P173" s="431"/>
      <c r="Q173" s="431"/>
      <c r="R173" s="431"/>
      <c r="S173" s="431"/>
      <c r="T173" s="431"/>
      <c r="U173" s="431"/>
    </row>
    <row r="174" spans="1:21" x14ac:dyDescent="0.25">
      <c r="A174" s="212"/>
      <c r="B174" s="212"/>
      <c r="C174" s="212"/>
      <c r="D174" s="212"/>
      <c r="N174" s="431"/>
      <c r="O174" s="431"/>
      <c r="P174" s="431"/>
      <c r="Q174" s="431"/>
      <c r="R174" s="431"/>
      <c r="S174" s="431"/>
      <c r="T174" s="431"/>
      <c r="U174" s="431"/>
    </row>
    <row r="175" spans="1:21" x14ac:dyDescent="0.25">
      <c r="A175" s="212"/>
      <c r="B175" s="212"/>
      <c r="C175" s="212"/>
      <c r="D175" s="212"/>
      <c r="N175" s="431"/>
      <c r="O175" s="431"/>
      <c r="P175" s="431"/>
      <c r="Q175" s="431"/>
      <c r="R175" s="431"/>
      <c r="S175" s="431"/>
      <c r="T175" s="431"/>
      <c r="U175" s="431"/>
    </row>
    <row r="176" spans="1:21" x14ac:dyDescent="0.25">
      <c r="A176" s="212"/>
      <c r="B176" s="212"/>
      <c r="C176" s="212"/>
      <c r="D176" s="212"/>
      <c r="N176" s="431"/>
      <c r="O176" s="431"/>
      <c r="P176" s="431"/>
      <c r="Q176" s="431"/>
      <c r="R176" s="431"/>
      <c r="S176" s="431"/>
      <c r="T176" s="431"/>
      <c r="U176" s="431"/>
    </row>
    <row r="177" spans="1:21" x14ac:dyDescent="0.25">
      <c r="A177" s="212"/>
      <c r="B177" s="212"/>
      <c r="C177" s="212"/>
      <c r="D177" s="212"/>
      <c r="N177" s="431"/>
      <c r="O177" s="431"/>
      <c r="P177" s="431"/>
      <c r="Q177" s="431"/>
      <c r="R177" s="431"/>
      <c r="S177" s="431"/>
      <c r="T177" s="431"/>
      <c r="U177" s="431"/>
    </row>
    <row r="178" spans="1:21" x14ac:dyDescent="0.25">
      <c r="A178" s="212"/>
      <c r="B178" s="212"/>
      <c r="C178" s="212"/>
      <c r="D178" s="212"/>
      <c r="N178" s="431"/>
      <c r="O178" s="431"/>
      <c r="P178" s="431"/>
      <c r="Q178" s="431"/>
      <c r="R178" s="431"/>
      <c r="S178" s="431"/>
      <c r="T178" s="431"/>
      <c r="U178" s="431"/>
    </row>
    <row r="179" spans="1:21" x14ac:dyDescent="0.25">
      <c r="A179" s="212"/>
      <c r="B179" s="212"/>
      <c r="C179" s="212"/>
      <c r="D179" s="212"/>
      <c r="N179" s="431"/>
      <c r="O179" s="431"/>
      <c r="P179" s="431"/>
      <c r="Q179" s="431"/>
      <c r="R179" s="431"/>
      <c r="S179" s="431"/>
      <c r="T179" s="431"/>
      <c r="U179" s="431"/>
    </row>
    <row r="180" spans="1:21" x14ac:dyDescent="0.25">
      <c r="A180" s="212"/>
      <c r="B180" s="212"/>
      <c r="C180" s="212"/>
      <c r="D180" s="212"/>
      <c r="N180" s="431"/>
      <c r="O180" s="431"/>
      <c r="P180" s="431"/>
      <c r="Q180" s="431"/>
      <c r="R180" s="431"/>
      <c r="S180" s="431"/>
      <c r="T180" s="431"/>
      <c r="U180" s="431"/>
    </row>
    <row r="181" spans="1:21" x14ac:dyDescent="0.25">
      <c r="A181" s="212"/>
      <c r="B181" s="212"/>
      <c r="C181" s="212"/>
      <c r="D181" s="212"/>
      <c r="N181" s="431"/>
      <c r="O181" s="431"/>
      <c r="P181" s="431"/>
      <c r="Q181" s="431"/>
      <c r="R181" s="431"/>
      <c r="S181" s="431"/>
      <c r="T181" s="431"/>
      <c r="U181" s="431"/>
    </row>
    <row r="182" spans="1:21" x14ac:dyDescent="0.25">
      <c r="A182" s="212"/>
      <c r="B182" s="212"/>
      <c r="C182" s="212"/>
      <c r="D182" s="212"/>
      <c r="N182" s="431"/>
      <c r="O182" s="431"/>
      <c r="P182" s="431"/>
      <c r="Q182" s="431"/>
      <c r="R182" s="431"/>
      <c r="S182" s="431"/>
      <c r="T182" s="431"/>
      <c r="U182" s="431"/>
    </row>
    <row r="183" spans="1:21" x14ac:dyDescent="0.25">
      <c r="A183" s="212"/>
      <c r="B183" s="212"/>
      <c r="C183" s="212"/>
      <c r="D183" s="212"/>
      <c r="N183" s="431"/>
      <c r="O183" s="431"/>
      <c r="P183" s="431"/>
      <c r="Q183" s="431"/>
      <c r="R183" s="431"/>
      <c r="S183" s="431"/>
      <c r="T183" s="431"/>
      <c r="U183" s="431"/>
    </row>
    <row r="184" spans="1:21" x14ac:dyDescent="0.25">
      <c r="A184" s="212"/>
      <c r="B184" s="212"/>
      <c r="C184" s="212"/>
      <c r="D184" s="212"/>
      <c r="N184" s="431"/>
      <c r="O184" s="431"/>
      <c r="P184" s="431"/>
      <c r="Q184" s="431"/>
      <c r="R184" s="431"/>
      <c r="S184" s="431"/>
      <c r="T184" s="431"/>
      <c r="U184" s="431"/>
    </row>
    <row r="185" spans="1:21" x14ac:dyDescent="0.25">
      <c r="A185" s="212"/>
      <c r="B185" s="212"/>
      <c r="C185" s="212"/>
      <c r="D185" s="212"/>
      <c r="N185" s="431"/>
      <c r="O185" s="431"/>
      <c r="P185" s="431"/>
      <c r="Q185" s="431"/>
      <c r="R185" s="431"/>
      <c r="S185" s="431"/>
      <c r="T185" s="431"/>
      <c r="U185" s="431"/>
    </row>
    <row r="186" spans="1:21" x14ac:dyDescent="0.25">
      <c r="A186" s="212"/>
      <c r="B186" s="212"/>
      <c r="C186" s="212"/>
      <c r="D186" s="212"/>
      <c r="N186" s="431"/>
      <c r="O186" s="431"/>
      <c r="P186" s="431"/>
      <c r="Q186" s="431"/>
      <c r="R186" s="431"/>
      <c r="S186" s="431"/>
      <c r="T186" s="431"/>
      <c r="U186" s="431"/>
    </row>
    <row r="187" spans="1:21" x14ac:dyDescent="0.25">
      <c r="A187" s="212"/>
      <c r="B187" s="212"/>
      <c r="C187" s="212"/>
      <c r="D187" s="212"/>
      <c r="N187" s="431"/>
      <c r="O187" s="431"/>
      <c r="P187" s="431"/>
      <c r="Q187" s="431"/>
      <c r="R187" s="431"/>
      <c r="S187" s="431"/>
      <c r="T187" s="431"/>
      <c r="U187" s="431"/>
    </row>
    <row r="188" spans="1:21" x14ac:dyDescent="0.25">
      <c r="A188" s="212"/>
      <c r="B188" s="212"/>
      <c r="C188" s="212"/>
      <c r="D188" s="212"/>
      <c r="N188" s="431"/>
      <c r="O188" s="431"/>
      <c r="P188" s="431"/>
      <c r="Q188" s="431"/>
      <c r="R188" s="431"/>
      <c r="S188" s="431"/>
      <c r="T188" s="431"/>
      <c r="U188" s="431"/>
    </row>
    <row r="189" spans="1:21" x14ac:dyDescent="0.25">
      <c r="A189" s="212"/>
      <c r="B189" s="212"/>
      <c r="C189" s="212"/>
      <c r="D189" s="212"/>
      <c r="N189" s="431"/>
      <c r="O189" s="431"/>
      <c r="P189" s="431"/>
      <c r="Q189" s="431"/>
      <c r="R189" s="431"/>
      <c r="S189" s="431"/>
      <c r="T189" s="431"/>
      <c r="U189" s="431"/>
    </row>
    <row r="190" spans="1:21" x14ac:dyDescent="0.25">
      <c r="A190" s="212"/>
      <c r="B190" s="212"/>
      <c r="C190" s="212"/>
      <c r="D190" s="212"/>
      <c r="N190" s="431"/>
      <c r="O190" s="431"/>
      <c r="P190" s="431"/>
      <c r="Q190" s="431"/>
      <c r="R190" s="431"/>
      <c r="S190" s="431"/>
      <c r="T190" s="431"/>
      <c r="U190" s="431"/>
    </row>
    <row r="191" spans="1:21" x14ac:dyDescent="0.25">
      <c r="A191" s="212"/>
      <c r="B191" s="212"/>
      <c r="C191" s="212"/>
      <c r="D191" s="212"/>
      <c r="N191" s="431"/>
      <c r="O191" s="431"/>
      <c r="P191" s="431"/>
      <c r="Q191" s="431"/>
      <c r="R191" s="431"/>
      <c r="S191" s="431"/>
      <c r="T191" s="431"/>
      <c r="U191" s="431"/>
    </row>
    <row r="192" spans="1:21" x14ac:dyDescent="0.25">
      <c r="A192" s="212"/>
      <c r="B192" s="212"/>
      <c r="C192" s="212"/>
      <c r="D192" s="212"/>
      <c r="N192" s="431"/>
      <c r="O192" s="431"/>
      <c r="P192" s="431"/>
      <c r="Q192" s="431"/>
      <c r="R192" s="431"/>
      <c r="S192" s="431"/>
      <c r="T192" s="431"/>
      <c r="U192" s="431"/>
    </row>
    <row r="193" spans="1:21" x14ac:dyDescent="0.25">
      <c r="A193" s="212"/>
      <c r="B193" s="212"/>
      <c r="C193" s="212"/>
      <c r="D193" s="212"/>
      <c r="N193" s="431"/>
      <c r="O193" s="431"/>
      <c r="P193" s="431"/>
      <c r="Q193" s="431"/>
      <c r="R193" s="431"/>
      <c r="S193" s="431"/>
      <c r="T193" s="431"/>
      <c r="U193" s="431"/>
    </row>
    <row r="194" spans="1:21" x14ac:dyDescent="0.25">
      <c r="A194" s="212"/>
      <c r="B194" s="212"/>
      <c r="C194" s="212"/>
      <c r="D194" s="212"/>
      <c r="N194" s="431"/>
      <c r="O194" s="431"/>
      <c r="P194" s="431"/>
      <c r="Q194" s="431"/>
      <c r="R194" s="431"/>
      <c r="S194" s="431"/>
      <c r="T194" s="431"/>
      <c r="U194" s="431"/>
    </row>
    <row r="195" spans="1:21" x14ac:dyDescent="0.25">
      <c r="A195" s="212"/>
      <c r="B195" s="212"/>
      <c r="C195" s="212"/>
      <c r="D195" s="212"/>
      <c r="N195" s="431"/>
      <c r="O195" s="431"/>
      <c r="P195" s="431"/>
      <c r="Q195" s="431"/>
      <c r="R195" s="431"/>
      <c r="S195" s="431"/>
      <c r="T195" s="431"/>
      <c r="U195" s="431"/>
    </row>
    <row r="196" spans="1:21" x14ac:dyDescent="0.25">
      <c r="A196" s="212"/>
      <c r="B196" s="212"/>
      <c r="C196" s="212"/>
      <c r="D196" s="212"/>
      <c r="N196" s="431"/>
      <c r="O196" s="431"/>
      <c r="P196" s="431"/>
      <c r="Q196" s="431"/>
      <c r="R196" s="431"/>
      <c r="S196" s="431"/>
      <c r="T196" s="431"/>
      <c r="U196" s="431"/>
    </row>
    <row r="197" spans="1:21" x14ac:dyDescent="0.25">
      <c r="A197" s="212"/>
      <c r="B197" s="212"/>
      <c r="C197" s="212"/>
      <c r="D197" s="212"/>
      <c r="N197" s="431"/>
      <c r="O197" s="431"/>
      <c r="P197" s="431"/>
      <c r="Q197" s="431"/>
      <c r="R197" s="431"/>
      <c r="S197" s="431"/>
      <c r="T197" s="431"/>
      <c r="U197" s="431"/>
    </row>
    <row r="198" spans="1:21" x14ac:dyDescent="0.25">
      <c r="A198" s="212"/>
      <c r="B198" s="212"/>
      <c r="C198" s="212"/>
      <c r="D198" s="212"/>
      <c r="N198" s="431"/>
      <c r="O198" s="431"/>
      <c r="P198" s="431"/>
      <c r="Q198" s="431"/>
      <c r="R198" s="431"/>
      <c r="S198" s="431"/>
      <c r="T198" s="431"/>
      <c r="U198" s="431"/>
    </row>
    <row r="199" spans="1:21" x14ac:dyDescent="0.25">
      <c r="A199" s="212"/>
      <c r="B199" s="212"/>
      <c r="C199" s="212"/>
      <c r="D199" s="212"/>
      <c r="N199" s="431"/>
      <c r="O199" s="431"/>
      <c r="P199" s="431"/>
      <c r="Q199" s="431"/>
      <c r="R199" s="431"/>
      <c r="S199" s="431"/>
      <c r="T199" s="431"/>
      <c r="U199" s="431"/>
    </row>
    <row r="200" spans="1:21" x14ac:dyDescent="0.25">
      <c r="A200" s="212"/>
      <c r="B200" s="212"/>
      <c r="C200" s="212"/>
      <c r="D200" s="212"/>
      <c r="N200" s="431"/>
      <c r="O200" s="431"/>
      <c r="P200" s="431"/>
      <c r="Q200" s="431"/>
      <c r="R200" s="431"/>
      <c r="S200" s="431"/>
      <c r="T200" s="431"/>
      <c r="U200" s="431"/>
    </row>
    <row r="201" spans="1:21" x14ac:dyDescent="0.25">
      <c r="A201" s="212"/>
      <c r="B201" s="212"/>
      <c r="C201" s="212"/>
      <c r="D201" s="212"/>
      <c r="N201" s="431"/>
      <c r="O201" s="431"/>
      <c r="P201" s="431"/>
      <c r="Q201" s="431"/>
      <c r="R201" s="431"/>
      <c r="S201" s="431"/>
      <c r="T201" s="431"/>
      <c r="U201" s="431"/>
    </row>
    <row r="202" spans="1:21" x14ac:dyDescent="0.25">
      <c r="A202" s="212"/>
      <c r="B202" s="212"/>
      <c r="C202" s="212"/>
      <c r="D202" s="212"/>
      <c r="N202" s="431"/>
      <c r="O202" s="431"/>
      <c r="P202" s="431"/>
      <c r="Q202" s="431"/>
      <c r="R202" s="431"/>
      <c r="S202" s="431"/>
      <c r="T202" s="431"/>
      <c r="U202" s="431"/>
    </row>
    <row r="203" spans="1:21" x14ac:dyDescent="0.25">
      <c r="A203" s="212"/>
      <c r="B203" s="212"/>
      <c r="C203" s="212"/>
      <c r="D203" s="212"/>
      <c r="N203" s="431"/>
      <c r="O203" s="431"/>
      <c r="P203" s="431"/>
      <c r="Q203" s="431"/>
      <c r="R203" s="431"/>
      <c r="S203" s="431"/>
      <c r="T203" s="431"/>
      <c r="U203" s="431"/>
    </row>
    <row r="204" spans="1:21" x14ac:dyDescent="0.25">
      <c r="A204" s="212"/>
      <c r="B204" s="212"/>
      <c r="C204" s="212"/>
      <c r="D204" s="212"/>
      <c r="N204" s="431"/>
      <c r="O204" s="431"/>
      <c r="P204" s="431"/>
      <c r="Q204" s="431"/>
      <c r="R204" s="431"/>
      <c r="S204" s="431"/>
      <c r="T204" s="431"/>
      <c r="U204" s="431"/>
    </row>
    <row r="205" spans="1:21" x14ac:dyDescent="0.25">
      <c r="A205" s="212"/>
      <c r="B205" s="212"/>
      <c r="C205" s="212"/>
      <c r="D205" s="212"/>
      <c r="N205" s="431"/>
      <c r="O205" s="431"/>
      <c r="P205" s="431"/>
      <c r="Q205" s="431"/>
      <c r="R205" s="431"/>
      <c r="S205" s="431"/>
      <c r="T205" s="431"/>
      <c r="U205" s="431"/>
    </row>
    <row r="206" spans="1:21" x14ac:dyDescent="0.25">
      <c r="A206" s="212"/>
      <c r="B206" s="212"/>
      <c r="C206" s="212"/>
      <c r="D206" s="212"/>
      <c r="N206" s="431"/>
      <c r="O206" s="431"/>
      <c r="P206" s="431"/>
      <c r="Q206" s="431"/>
      <c r="R206" s="431"/>
      <c r="S206" s="431"/>
      <c r="T206" s="431"/>
      <c r="U206" s="431"/>
    </row>
    <row r="207" spans="1:21" x14ac:dyDescent="0.25">
      <c r="A207" s="212"/>
      <c r="B207" s="212"/>
      <c r="C207" s="212"/>
      <c r="D207" s="212"/>
      <c r="N207" s="431"/>
      <c r="O207" s="431"/>
      <c r="P207" s="431"/>
      <c r="Q207" s="431"/>
      <c r="R207" s="431"/>
      <c r="S207" s="431"/>
      <c r="T207" s="431"/>
      <c r="U207" s="431"/>
    </row>
    <row r="208" spans="1:21" x14ac:dyDescent="0.25">
      <c r="A208" s="212"/>
      <c r="B208" s="212"/>
      <c r="C208" s="212"/>
      <c r="D208" s="212"/>
      <c r="N208" s="431"/>
      <c r="O208" s="431"/>
      <c r="P208" s="431"/>
      <c r="Q208" s="431"/>
      <c r="R208" s="431"/>
      <c r="S208" s="431"/>
      <c r="T208" s="431"/>
      <c r="U208" s="431"/>
    </row>
    <row r="209" spans="1:21" x14ac:dyDescent="0.25">
      <c r="A209" s="212"/>
      <c r="B209" s="212"/>
      <c r="C209" s="212"/>
      <c r="D209" s="212"/>
      <c r="N209" s="431"/>
      <c r="O209" s="431"/>
      <c r="P209" s="431"/>
      <c r="Q209" s="431"/>
      <c r="R209" s="431"/>
      <c r="S209" s="431"/>
      <c r="T209" s="431"/>
      <c r="U209" s="431"/>
    </row>
    <row r="210" spans="1:21" x14ac:dyDescent="0.25">
      <c r="A210" s="212"/>
      <c r="B210" s="212"/>
      <c r="C210" s="212"/>
      <c r="D210" s="212"/>
      <c r="N210" s="431"/>
      <c r="O210" s="431"/>
      <c r="P210" s="431"/>
      <c r="Q210" s="431"/>
      <c r="R210" s="431"/>
      <c r="S210" s="431"/>
      <c r="T210" s="431"/>
      <c r="U210" s="431"/>
    </row>
    <row r="211" spans="1:21" x14ac:dyDescent="0.25">
      <c r="A211" s="212"/>
      <c r="B211" s="212"/>
      <c r="C211" s="212"/>
      <c r="D211" s="212"/>
      <c r="N211" s="431"/>
      <c r="O211" s="431"/>
      <c r="P211" s="431"/>
      <c r="Q211" s="431"/>
      <c r="R211" s="431"/>
      <c r="S211" s="431"/>
      <c r="T211" s="431"/>
      <c r="U211" s="431"/>
    </row>
    <row r="212" spans="1:21" x14ac:dyDescent="0.25">
      <c r="A212" s="212"/>
      <c r="B212" s="212"/>
      <c r="C212" s="212"/>
      <c r="D212" s="212"/>
      <c r="N212" s="431"/>
      <c r="O212" s="431"/>
      <c r="P212" s="431"/>
      <c r="Q212" s="431"/>
      <c r="R212" s="431"/>
      <c r="S212" s="431"/>
      <c r="T212" s="431"/>
      <c r="U212" s="431"/>
    </row>
    <row r="213" spans="1:21" x14ac:dyDescent="0.25">
      <c r="A213" s="212"/>
      <c r="B213" s="212"/>
      <c r="C213" s="212"/>
      <c r="D213" s="212"/>
      <c r="N213" s="431"/>
      <c r="O213" s="431"/>
      <c r="P213" s="431"/>
      <c r="Q213" s="431"/>
      <c r="R213" s="431"/>
      <c r="S213" s="431"/>
      <c r="T213" s="431"/>
      <c r="U213" s="431"/>
    </row>
    <row r="214" spans="1:21" x14ac:dyDescent="0.25">
      <c r="A214" s="212"/>
      <c r="B214" s="212"/>
      <c r="C214" s="212"/>
      <c r="D214" s="212"/>
      <c r="N214" s="431"/>
      <c r="O214" s="431"/>
      <c r="P214" s="431"/>
      <c r="Q214" s="431"/>
      <c r="R214" s="431"/>
      <c r="S214" s="431"/>
      <c r="T214" s="431"/>
      <c r="U214" s="431"/>
    </row>
    <row r="215" spans="1:21" x14ac:dyDescent="0.25">
      <c r="A215" s="212"/>
      <c r="B215" s="212"/>
      <c r="C215" s="212"/>
      <c r="D215" s="212"/>
      <c r="N215" s="431"/>
      <c r="O215" s="431"/>
      <c r="P215" s="431"/>
      <c r="Q215" s="431"/>
      <c r="R215" s="431"/>
      <c r="S215" s="431"/>
      <c r="T215" s="431"/>
      <c r="U215" s="431"/>
    </row>
    <row r="216" spans="1:21" x14ac:dyDescent="0.25">
      <c r="A216" s="212"/>
      <c r="B216" s="212"/>
      <c r="C216" s="212"/>
      <c r="D216" s="212"/>
      <c r="N216" s="431"/>
      <c r="O216" s="431"/>
      <c r="P216" s="431"/>
      <c r="Q216" s="431"/>
      <c r="R216" s="431"/>
      <c r="S216" s="431"/>
      <c r="T216" s="431"/>
      <c r="U216" s="431"/>
    </row>
    <row r="217" spans="1:21" x14ac:dyDescent="0.25">
      <c r="A217" s="212"/>
      <c r="B217" s="212"/>
      <c r="C217" s="212"/>
      <c r="D217" s="212"/>
      <c r="N217" s="431"/>
      <c r="O217" s="431"/>
      <c r="P217" s="431"/>
      <c r="Q217" s="431"/>
      <c r="R217" s="431"/>
      <c r="S217" s="431"/>
      <c r="T217" s="431"/>
      <c r="U217" s="431"/>
    </row>
    <row r="218" spans="1:21" x14ac:dyDescent="0.25">
      <c r="A218" s="212"/>
      <c r="B218" s="212"/>
      <c r="C218" s="212"/>
      <c r="D218" s="212"/>
      <c r="N218" s="431"/>
      <c r="O218" s="431"/>
      <c r="P218" s="431"/>
      <c r="Q218" s="431"/>
      <c r="R218" s="431"/>
      <c r="S218" s="431"/>
      <c r="T218" s="431"/>
      <c r="U218" s="431"/>
    </row>
    <row r="219" spans="1:21" x14ac:dyDescent="0.25">
      <c r="A219" s="212"/>
      <c r="B219" s="212"/>
      <c r="C219" s="212"/>
      <c r="D219" s="212"/>
      <c r="N219" s="431"/>
      <c r="O219" s="431"/>
      <c r="P219" s="431"/>
      <c r="Q219" s="431"/>
      <c r="R219" s="431"/>
      <c r="S219" s="431"/>
      <c r="T219" s="431"/>
      <c r="U219" s="431"/>
    </row>
    <row r="220" spans="1:21" x14ac:dyDescent="0.25">
      <c r="A220" s="212"/>
      <c r="B220" s="212"/>
      <c r="C220" s="212"/>
      <c r="D220" s="212"/>
      <c r="N220" s="431"/>
      <c r="O220" s="431"/>
      <c r="P220" s="431"/>
      <c r="Q220" s="431"/>
      <c r="R220" s="431"/>
      <c r="S220" s="431"/>
      <c r="T220" s="431"/>
      <c r="U220" s="431"/>
    </row>
    <row r="221" spans="1:21" x14ac:dyDescent="0.25">
      <c r="A221" s="212"/>
      <c r="B221" s="212"/>
      <c r="C221" s="212"/>
      <c r="D221" s="212"/>
      <c r="N221" s="431"/>
      <c r="O221" s="431"/>
      <c r="P221" s="431"/>
      <c r="Q221" s="431"/>
      <c r="R221" s="431"/>
      <c r="S221" s="431"/>
      <c r="T221" s="431"/>
      <c r="U221" s="431"/>
    </row>
    <row r="222" spans="1:21" x14ac:dyDescent="0.25">
      <c r="A222" s="212"/>
      <c r="B222" s="212"/>
      <c r="C222" s="212"/>
      <c r="D222" s="212"/>
      <c r="N222" s="431"/>
      <c r="O222" s="431"/>
      <c r="P222" s="431"/>
      <c r="Q222" s="431"/>
      <c r="R222" s="431"/>
      <c r="S222" s="431"/>
      <c r="T222" s="431"/>
      <c r="U222" s="431"/>
    </row>
    <row r="223" spans="1:21" x14ac:dyDescent="0.25">
      <c r="A223" s="212"/>
      <c r="B223" s="212"/>
      <c r="C223" s="212"/>
      <c r="D223" s="212"/>
      <c r="N223" s="431"/>
      <c r="O223" s="431"/>
      <c r="P223" s="431"/>
      <c r="Q223" s="431"/>
      <c r="R223" s="431"/>
      <c r="S223" s="431"/>
      <c r="T223" s="431"/>
      <c r="U223" s="431"/>
    </row>
    <row r="224" spans="1:21" x14ac:dyDescent="0.25">
      <c r="A224" s="212"/>
      <c r="B224" s="212"/>
      <c r="C224" s="212"/>
      <c r="D224" s="212"/>
      <c r="N224" s="431"/>
      <c r="O224" s="431"/>
      <c r="P224" s="431"/>
      <c r="Q224" s="431"/>
      <c r="R224" s="431"/>
      <c r="S224" s="431"/>
      <c r="T224" s="431"/>
      <c r="U224" s="431"/>
    </row>
    <row r="225" spans="1:21" x14ac:dyDescent="0.25">
      <c r="A225" s="212"/>
      <c r="B225" s="212"/>
      <c r="C225" s="212"/>
      <c r="D225" s="212"/>
      <c r="N225" s="431"/>
      <c r="O225" s="431"/>
      <c r="P225" s="431"/>
      <c r="Q225" s="431"/>
      <c r="R225" s="431"/>
      <c r="S225" s="431"/>
      <c r="T225" s="431"/>
      <c r="U225" s="431"/>
    </row>
    <row r="226" spans="1:21" x14ac:dyDescent="0.25">
      <c r="A226" s="212"/>
      <c r="B226" s="212"/>
      <c r="C226" s="212"/>
      <c r="D226" s="212"/>
      <c r="N226" s="431"/>
      <c r="O226" s="431"/>
      <c r="P226" s="431"/>
      <c r="Q226" s="431"/>
      <c r="R226" s="431"/>
      <c r="S226" s="431"/>
      <c r="T226" s="431"/>
      <c r="U226" s="431"/>
    </row>
    <row r="227" spans="1:21" x14ac:dyDescent="0.25">
      <c r="A227" s="212"/>
      <c r="B227" s="212"/>
      <c r="C227" s="212"/>
      <c r="D227" s="212"/>
      <c r="N227" s="431"/>
      <c r="O227" s="431"/>
      <c r="P227" s="431"/>
      <c r="Q227" s="431"/>
      <c r="R227" s="431"/>
      <c r="S227" s="431"/>
      <c r="T227" s="431"/>
      <c r="U227" s="431"/>
    </row>
    <row r="228" spans="1:21" x14ac:dyDescent="0.25">
      <c r="A228" s="212"/>
      <c r="B228" s="212"/>
      <c r="C228" s="212"/>
      <c r="D228" s="212"/>
      <c r="N228" s="431"/>
      <c r="O228" s="431"/>
      <c r="P228" s="431"/>
      <c r="Q228" s="431"/>
      <c r="R228" s="431"/>
      <c r="S228" s="431"/>
      <c r="T228" s="431"/>
      <c r="U228" s="431"/>
    </row>
    <row r="229" spans="1:21" x14ac:dyDescent="0.25">
      <c r="A229" s="212"/>
      <c r="B229" s="212"/>
      <c r="C229" s="212"/>
      <c r="D229" s="212"/>
      <c r="N229" s="431"/>
      <c r="O229" s="431"/>
      <c r="P229" s="431"/>
      <c r="Q229" s="431"/>
      <c r="R229" s="431"/>
      <c r="S229" s="431"/>
      <c r="T229" s="431"/>
      <c r="U229" s="431"/>
    </row>
    <row r="230" spans="1:21" x14ac:dyDescent="0.25">
      <c r="A230" s="212"/>
      <c r="B230" s="212"/>
      <c r="C230" s="212"/>
      <c r="D230" s="212"/>
      <c r="N230" s="431"/>
      <c r="O230" s="431"/>
      <c r="P230" s="431"/>
      <c r="Q230" s="431"/>
      <c r="R230" s="431"/>
      <c r="S230" s="431"/>
      <c r="T230" s="431"/>
      <c r="U230" s="431"/>
    </row>
    <row r="231" spans="1:21" x14ac:dyDescent="0.25">
      <c r="A231" s="212"/>
      <c r="B231" s="212"/>
      <c r="C231" s="212"/>
      <c r="D231" s="212"/>
      <c r="N231" s="431"/>
      <c r="O231" s="431"/>
      <c r="P231" s="431"/>
      <c r="Q231" s="431"/>
      <c r="R231" s="431"/>
      <c r="S231" s="431"/>
      <c r="T231" s="431"/>
      <c r="U231" s="431"/>
    </row>
    <row r="232" spans="1:21" x14ac:dyDescent="0.25">
      <c r="A232" s="212"/>
      <c r="B232" s="212"/>
      <c r="C232" s="212"/>
      <c r="D232" s="212"/>
      <c r="N232" s="431"/>
      <c r="O232" s="431"/>
      <c r="P232" s="431"/>
      <c r="Q232" s="431"/>
      <c r="R232" s="431"/>
      <c r="S232" s="431"/>
      <c r="T232" s="431"/>
      <c r="U232" s="431"/>
    </row>
    <row r="233" spans="1:21" x14ac:dyDescent="0.25">
      <c r="A233" s="212"/>
      <c r="B233" s="212"/>
      <c r="C233" s="212"/>
      <c r="D233" s="212"/>
      <c r="N233" s="431"/>
      <c r="O233" s="431"/>
      <c r="P233" s="431"/>
      <c r="Q233" s="431"/>
      <c r="R233" s="431"/>
      <c r="S233" s="431"/>
      <c r="T233" s="431"/>
      <c r="U233" s="431"/>
    </row>
    <row r="234" spans="1:21" x14ac:dyDescent="0.25">
      <c r="A234" s="212"/>
      <c r="B234" s="212"/>
      <c r="C234" s="212"/>
      <c r="D234" s="212"/>
      <c r="N234" s="431"/>
      <c r="O234" s="431"/>
      <c r="P234" s="431"/>
      <c r="Q234" s="431"/>
      <c r="R234" s="431"/>
      <c r="S234" s="431"/>
      <c r="T234" s="431"/>
      <c r="U234" s="431"/>
    </row>
    <row r="235" spans="1:21" x14ac:dyDescent="0.25">
      <c r="A235" s="212"/>
      <c r="B235" s="212"/>
      <c r="C235" s="212"/>
      <c r="D235" s="212"/>
      <c r="N235" s="431"/>
      <c r="O235" s="431"/>
      <c r="P235" s="431"/>
      <c r="Q235" s="431"/>
      <c r="R235" s="431"/>
      <c r="S235" s="431"/>
      <c r="T235" s="431"/>
      <c r="U235" s="431"/>
    </row>
    <row r="236" spans="1:21" x14ac:dyDescent="0.25">
      <c r="A236" s="212"/>
      <c r="B236" s="212"/>
      <c r="C236" s="212"/>
      <c r="D236" s="212"/>
      <c r="N236" s="431"/>
      <c r="O236" s="431"/>
      <c r="P236" s="431"/>
      <c r="Q236" s="431"/>
      <c r="R236" s="431"/>
      <c r="S236" s="431"/>
      <c r="T236" s="431"/>
      <c r="U236" s="431"/>
    </row>
    <row r="237" spans="1:21" x14ac:dyDescent="0.25">
      <c r="A237" s="212"/>
      <c r="B237" s="212"/>
      <c r="C237" s="212"/>
      <c r="D237" s="212"/>
      <c r="N237" s="431"/>
      <c r="O237" s="431"/>
      <c r="P237" s="431"/>
      <c r="Q237" s="431"/>
      <c r="R237" s="431"/>
      <c r="S237" s="431"/>
      <c r="T237" s="431"/>
      <c r="U237" s="431"/>
    </row>
    <row r="238" spans="1:21" x14ac:dyDescent="0.25">
      <c r="A238" s="212"/>
      <c r="B238" s="212"/>
      <c r="C238" s="212"/>
      <c r="D238" s="212"/>
      <c r="N238" s="431"/>
      <c r="O238" s="431"/>
      <c r="P238" s="431"/>
      <c r="Q238" s="431"/>
      <c r="R238" s="431"/>
      <c r="S238" s="431"/>
      <c r="T238" s="431"/>
      <c r="U238" s="431"/>
    </row>
    <row r="239" spans="1:21" x14ac:dyDescent="0.25">
      <c r="A239" s="212"/>
      <c r="B239" s="212"/>
      <c r="C239" s="212"/>
      <c r="D239" s="212"/>
      <c r="N239" s="431"/>
      <c r="O239" s="431"/>
      <c r="P239" s="431"/>
      <c r="Q239" s="431"/>
      <c r="R239" s="431"/>
      <c r="S239" s="431"/>
      <c r="T239" s="431"/>
      <c r="U239" s="431"/>
    </row>
    <row r="240" spans="1:21" x14ac:dyDescent="0.25">
      <c r="A240" s="212"/>
      <c r="B240" s="212"/>
      <c r="C240" s="212"/>
      <c r="D240" s="212"/>
      <c r="N240" s="431"/>
      <c r="O240" s="431"/>
      <c r="P240" s="431"/>
      <c r="Q240" s="431"/>
      <c r="R240" s="431"/>
      <c r="S240" s="431"/>
      <c r="T240" s="431"/>
      <c r="U240" s="431"/>
    </row>
    <row r="241" spans="1:21" x14ac:dyDescent="0.25">
      <c r="A241" s="212"/>
      <c r="B241" s="212"/>
      <c r="C241" s="212"/>
      <c r="D241" s="212"/>
      <c r="N241" s="431"/>
      <c r="O241" s="431"/>
      <c r="P241" s="431"/>
      <c r="Q241" s="431"/>
      <c r="R241" s="431"/>
      <c r="S241" s="431"/>
      <c r="T241" s="431"/>
      <c r="U241" s="431"/>
    </row>
    <row r="242" spans="1:21" x14ac:dyDescent="0.25">
      <c r="A242" s="212"/>
      <c r="B242" s="212"/>
      <c r="C242" s="212"/>
      <c r="D242" s="212"/>
      <c r="N242" s="431"/>
      <c r="O242" s="431"/>
      <c r="P242" s="431"/>
      <c r="Q242" s="431"/>
      <c r="R242" s="431"/>
      <c r="S242" s="431"/>
      <c r="T242" s="431"/>
      <c r="U242" s="431"/>
    </row>
    <row r="243" spans="1:21" x14ac:dyDescent="0.25">
      <c r="A243" s="212"/>
      <c r="B243" s="212"/>
      <c r="C243" s="212"/>
      <c r="D243" s="212"/>
      <c r="N243" s="431"/>
      <c r="O243" s="431"/>
      <c r="P243" s="431"/>
      <c r="Q243" s="431"/>
      <c r="R243" s="431"/>
      <c r="S243" s="431"/>
      <c r="T243" s="431"/>
      <c r="U243" s="431"/>
    </row>
    <row r="244" spans="1:21" x14ac:dyDescent="0.25">
      <c r="A244" s="212"/>
      <c r="B244" s="212"/>
      <c r="C244" s="212"/>
      <c r="D244" s="212"/>
      <c r="N244" s="431"/>
      <c r="O244" s="431"/>
      <c r="P244" s="431"/>
      <c r="Q244" s="431"/>
      <c r="R244" s="431"/>
      <c r="S244" s="431"/>
      <c r="T244" s="431"/>
      <c r="U244" s="431"/>
    </row>
    <row r="245" spans="1:21" x14ac:dyDescent="0.25">
      <c r="A245" s="212"/>
      <c r="B245" s="212"/>
      <c r="C245" s="212"/>
      <c r="D245" s="212"/>
      <c r="N245" s="431"/>
      <c r="O245" s="431"/>
      <c r="P245" s="431"/>
      <c r="Q245" s="431"/>
      <c r="R245" s="431"/>
      <c r="S245" s="431"/>
      <c r="T245" s="431"/>
      <c r="U245" s="431"/>
    </row>
    <row r="246" spans="1:21" x14ac:dyDescent="0.25">
      <c r="A246" s="212"/>
      <c r="B246" s="212"/>
      <c r="C246" s="212"/>
      <c r="D246" s="212"/>
      <c r="N246" s="431"/>
      <c r="O246" s="431"/>
      <c r="P246" s="431"/>
      <c r="Q246" s="431"/>
      <c r="R246" s="431"/>
      <c r="S246" s="431"/>
      <c r="T246" s="431"/>
      <c r="U246" s="431"/>
    </row>
    <row r="247" spans="1:21" x14ac:dyDescent="0.25">
      <c r="A247" s="212"/>
      <c r="B247" s="212"/>
      <c r="C247" s="212"/>
      <c r="D247" s="212"/>
      <c r="N247" s="431"/>
      <c r="O247" s="431"/>
      <c r="P247" s="431"/>
      <c r="Q247" s="431"/>
      <c r="R247" s="431"/>
      <c r="S247" s="431"/>
      <c r="T247" s="431"/>
      <c r="U247" s="431"/>
    </row>
    <row r="248" spans="1:21" x14ac:dyDescent="0.25">
      <c r="A248" s="212"/>
      <c r="B248" s="212"/>
      <c r="C248" s="212"/>
      <c r="D248" s="212"/>
      <c r="N248" s="431"/>
      <c r="O248" s="431"/>
      <c r="P248" s="431"/>
      <c r="Q248" s="431"/>
      <c r="R248" s="431"/>
      <c r="S248" s="431"/>
      <c r="T248" s="431"/>
      <c r="U248" s="431"/>
    </row>
    <row r="249" spans="1:21" x14ac:dyDescent="0.25">
      <c r="A249" s="212"/>
      <c r="B249" s="212"/>
      <c r="C249" s="212"/>
      <c r="D249" s="212"/>
      <c r="N249" s="431"/>
      <c r="O249" s="431"/>
      <c r="P249" s="431"/>
      <c r="Q249" s="431"/>
      <c r="R249" s="431"/>
      <c r="S249" s="431"/>
      <c r="T249" s="431"/>
      <c r="U249" s="431"/>
    </row>
    <row r="250" spans="1:21" x14ac:dyDescent="0.25">
      <c r="A250" s="212"/>
      <c r="B250" s="212"/>
      <c r="C250" s="212"/>
      <c r="D250" s="212"/>
      <c r="N250" s="431"/>
      <c r="O250" s="431"/>
      <c r="P250" s="431"/>
      <c r="Q250" s="431"/>
      <c r="R250" s="431"/>
      <c r="S250" s="431"/>
      <c r="T250" s="431"/>
      <c r="U250" s="431"/>
    </row>
    <row r="251" spans="1:21" x14ac:dyDescent="0.25">
      <c r="A251" s="212"/>
      <c r="B251" s="212"/>
      <c r="C251" s="212"/>
      <c r="D251" s="212"/>
      <c r="N251" s="431"/>
      <c r="O251" s="431"/>
      <c r="P251" s="431"/>
      <c r="Q251" s="431"/>
      <c r="R251" s="431"/>
      <c r="S251" s="431"/>
      <c r="T251" s="431"/>
      <c r="U251" s="431"/>
    </row>
    <row r="252" spans="1:21" x14ac:dyDescent="0.25">
      <c r="A252" s="212"/>
      <c r="B252" s="212"/>
      <c r="C252" s="212"/>
      <c r="D252" s="212"/>
      <c r="N252" s="431"/>
      <c r="O252" s="431"/>
      <c r="P252" s="431"/>
      <c r="Q252" s="431"/>
      <c r="R252" s="431"/>
      <c r="S252" s="431"/>
      <c r="T252" s="431"/>
      <c r="U252" s="431"/>
    </row>
    <row r="253" spans="1:21" x14ac:dyDescent="0.25">
      <c r="A253" s="212"/>
      <c r="B253" s="212"/>
      <c r="C253" s="212"/>
      <c r="D253" s="212"/>
      <c r="N253" s="431"/>
      <c r="O253" s="431"/>
      <c r="P253" s="431"/>
      <c r="Q253" s="431"/>
      <c r="R253" s="431"/>
      <c r="S253" s="431"/>
      <c r="T253" s="431"/>
      <c r="U253" s="431"/>
    </row>
    <row r="254" spans="1:21" x14ac:dyDescent="0.25">
      <c r="A254" s="212"/>
      <c r="B254" s="212"/>
      <c r="C254" s="212"/>
      <c r="D254" s="212"/>
      <c r="N254" s="431"/>
      <c r="O254" s="431"/>
      <c r="P254" s="431"/>
      <c r="Q254" s="431"/>
      <c r="R254" s="431"/>
      <c r="S254" s="431"/>
      <c r="T254" s="431"/>
      <c r="U254" s="431"/>
    </row>
    <row r="255" spans="1:21" x14ac:dyDescent="0.25">
      <c r="A255" s="212"/>
      <c r="B255" s="212"/>
      <c r="C255" s="212"/>
      <c r="D255" s="212"/>
      <c r="N255" s="431"/>
      <c r="O255" s="431"/>
      <c r="P255" s="431"/>
      <c r="Q255" s="431"/>
      <c r="R255" s="431"/>
      <c r="S255" s="431"/>
      <c r="T255" s="431"/>
      <c r="U255" s="431"/>
    </row>
    <row r="256" spans="1:21" x14ac:dyDescent="0.25">
      <c r="A256" s="212"/>
      <c r="B256" s="212"/>
      <c r="C256" s="212"/>
      <c r="D256" s="212"/>
      <c r="N256" s="431"/>
      <c r="O256" s="431"/>
      <c r="P256" s="431"/>
      <c r="Q256" s="431"/>
      <c r="R256" s="431"/>
      <c r="S256" s="431"/>
      <c r="T256" s="431"/>
      <c r="U256" s="431"/>
    </row>
    <row r="257" spans="1:21" x14ac:dyDescent="0.25">
      <c r="A257" s="212"/>
      <c r="B257" s="212"/>
      <c r="C257" s="212"/>
      <c r="D257" s="212"/>
      <c r="N257" s="431"/>
      <c r="O257" s="431"/>
      <c r="P257" s="431"/>
      <c r="Q257" s="431"/>
      <c r="R257" s="431"/>
      <c r="S257" s="431"/>
      <c r="T257" s="431"/>
      <c r="U257" s="431"/>
    </row>
    <row r="258" spans="1:21" x14ac:dyDescent="0.25">
      <c r="A258" s="212"/>
      <c r="B258" s="212"/>
      <c r="C258" s="212"/>
      <c r="D258" s="212"/>
      <c r="N258" s="431"/>
      <c r="O258" s="431"/>
      <c r="P258" s="431"/>
      <c r="Q258" s="431"/>
      <c r="R258" s="431"/>
      <c r="S258" s="431"/>
      <c r="T258" s="431"/>
      <c r="U258" s="431"/>
    </row>
    <row r="259" spans="1:21" x14ac:dyDescent="0.25">
      <c r="A259" s="212"/>
      <c r="B259" s="212"/>
      <c r="C259" s="212"/>
      <c r="D259" s="212"/>
      <c r="N259" s="431"/>
      <c r="O259" s="431"/>
      <c r="P259" s="431"/>
      <c r="Q259" s="431"/>
      <c r="R259" s="431"/>
      <c r="S259" s="431"/>
      <c r="T259" s="431"/>
      <c r="U259" s="431"/>
    </row>
    <row r="260" spans="1:21" x14ac:dyDescent="0.25">
      <c r="A260" s="212"/>
      <c r="B260" s="212"/>
      <c r="C260" s="212"/>
      <c r="D260" s="212"/>
      <c r="N260" s="431"/>
      <c r="O260" s="431"/>
      <c r="P260" s="431"/>
      <c r="Q260" s="431"/>
      <c r="R260" s="431"/>
      <c r="S260" s="431"/>
      <c r="T260" s="431"/>
      <c r="U260" s="431"/>
    </row>
    <row r="261" spans="1:21" x14ac:dyDescent="0.25">
      <c r="A261" s="212"/>
      <c r="B261" s="212"/>
      <c r="C261" s="212"/>
      <c r="D261" s="212"/>
      <c r="N261" s="431"/>
      <c r="O261" s="431"/>
      <c r="P261" s="431"/>
      <c r="Q261" s="431"/>
      <c r="R261" s="431"/>
      <c r="S261" s="431"/>
      <c r="T261" s="431"/>
      <c r="U261" s="431"/>
    </row>
    <row r="262" spans="1:21" x14ac:dyDescent="0.25">
      <c r="A262" s="212"/>
      <c r="B262" s="212"/>
      <c r="C262" s="212"/>
      <c r="D262" s="212"/>
      <c r="N262" s="431"/>
      <c r="O262" s="431"/>
      <c r="P262" s="431"/>
      <c r="Q262" s="431"/>
      <c r="R262" s="431"/>
      <c r="S262" s="431"/>
      <c r="T262" s="431"/>
      <c r="U262" s="431"/>
    </row>
    <row r="263" spans="1:21" x14ac:dyDescent="0.25">
      <c r="A263" s="212"/>
      <c r="B263" s="212"/>
      <c r="C263" s="212"/>
      <c r="D263" s="212"/>
      <c r="N263" s="431"/>
      <c r="O263" s="431"/>
      <c r="P263" s="431"/>
      <c r="Q263" s="431"/>
      <c r="R263" s="431"/>
      <c r="S263" s="431"/>
      <c r="T263" s="431"/>
      <c r="U263" s="431"/>
    </row>
    <row r="264" spans="1:21" x14ac:dyDescent="0.25">
      <c r="A264" s="212"/>
      <c r="B264" s="212"/>
      <c r="C264" s="212"/>
      <c r="D264" s="212"/>
      <c r="N264" s="431"/>
      <c r="O264" s="431"/>
      <c r="P264" s="431"/>
      <c r="Q264" s="431"/>
      <c r="R264" s="431"/>
      <c r="S264" s="431"/>
      <c r="T264" s="431"/>
      <c r="U264" s="431"/>
    </row>
    <row r="265" spans="1:21" x14ac:dyDescent="0.25">
      <c r="A265" s="212"/>
      <c r="B265" s="212"/>
      <c r="C265" s="212"/>
      <c r="D265" s="212"/>
      <c r="N265" s="431"/>
      <c r="O265" s="431"/>
      <c r="P265" s="431"/>
      <c r="Q265" s="431"/>
      <c r="R265" s="431"/>
      <c r="S265" s="431"/>
      <c r="T265" s="431"/>
      <c r="U265" s="431"/>
    </row>
    <row r="266" spans="1:21" x14ac:dyDescent="0.25">
      <c r="A266" s="212"/>
      <c r="B266" s="212"/>
      <c r="C266" s="212"/>
      <c r="D266" s="212"/>
      <c r="N266" s="431"/>
      <c r="O266" s="431"/>
      <c r="P266" s="431"/>
      <c r="Q266" s="431"/>
      <c r="R266" s="431"/>
      <c r="S266" s="431"/>
      <c r="T266" s="431"/>
      <c r="U266" s="431"/>
    </row>
    <row r="267" spans="1:21" x14ac:dyDescent="0.25">
      <c r="A267" s="212"/>
      <c r="B267" s="212"/>
      <c r="C267" s="212"/>
      <c r="D267" s="212"/>
      <c r="N267" s="431"/>
      <c r="O267" s="431"/>
      <c r="P267" s="431"/>
      <c r="Q267" s="431"/>
      <c r="R267" s="431"/>
      <c r="S267" s="431"/>
      <c r="T267" s="431"/>
      <c r="U267" s="431"/>
    </row>
    <row r="268" spans="1:21" x14ac:dyDescent="0.25">
      <c r="A268" s="212"/>
      <c r="B268" s="212"/>
      <c r="C268" s="212"/>
      <c r="D268" s="212"/>
      <c r="N268" s="431"/>
      <c r="O268" s="431"/>
      <c r="P268" s="431"/>
      <c r="Q268" s="431"/>
      <c r="R268" s="431"/>
      <c r="S268" s="431"/>
      <c r="T268" s="431"/>
      <c r="U268" s="431"/>
    </row>
    <row r="269" spans="1:21" x14ac:dyDescent="0.25">
      <c r="A269" s="212"/>
      <c r="B269" s="212"/>
      <c r="C269" s="212"/>
      <c r="D269" s="212"/>
      <c r="N269" s="431"/>
      <c r="O269" s="431"/>
      <c r="P269" s="431"/>
      <c r="Q269" s="431"/>
      <c r="R269" s="431"/>
      <c r="S269" s="431"/>
      <c r="T269" s="431"/>
      <c r="U269" s="431"/>
    </row>
    <row r="270" spans="1:21" x14ac:dyDescent="0.25">
      <c r="A270" s="212"/>
      <c r="B270" s="212"/>
      <c r="C270" s="212"/>
      <c r="D270" s="212"/>
      <c r="N270" s="431"/>
      <c r="O270" s="431"/>
      <c r="P270" s="431"/>
      <c r="Q270" s="431"/>
      <c r="R270" s="431"/>
      <c r="S270" s="431"/>
      <c r="T270" s="431"/>
      <c r="U270" s="431"/>
    </row>
    <row r="271" spans="1:21" x14ac:dyDescent="0.25">
      <c r="A271" s="212"/>
      <c r="B271" s="212"/>
      <c r="C271" s="212"/>
      <c r="D271" s="212"/>
      <c r="N271" s="431"/>
      <c r="O271" s="431"/>
      <c r="P271" s="431"/>
      <c r="Q271" s="431"/>
      <c r="R271" s="431"/>
      <c r="S271" s="431"/>
      <c r="T271" s="431"/>
      <c r="U271" s="431"/>
    </row>
    <row r="272" spans="1:21" x14ac:dyDescent="0.25">
      <c r="A272" s="212"/>
      <c r="B272" s="212"/>
      <c r="C272" s="212"/>
      <c r="D272" s="212"/>
      <c r="N272" s="431"/>
      <c r="O272" s="431"/>
      <c r="P272" s="431"/>
      <c r="Q272" s="431"/>
      <c r="R272" s="431"/>
      <c r="S272" s="431"/>
      <c r="T272" s="431"/>
      <c r="U272" s="431"/>
    </row>
    <row r="273" spans="1:21" x14ac:dyDescent="0.25">
      <c r="A273" s="212"/>
      <c r="B273" s="212"/>
      <c r="C273" s="212"/>
      <c r="D273" s="212"/>
      <c r="N273" s="431"/>
      <c r="O273" s="431"/>
      <c r="P273" s="431"/>
      <c r="Q273" s="431"/>
      <c r="R273" s="431"/>
      <c r="S273" s="431"/>
      <c r="T273" s="431"/>
      <c r="U273" s="431"/>
    </row>
    <row r="274" spans="1:21" x14ac:dyDescent="0.25">
      <c r="A274" s="212"/>
      <c r="B274" s="212"/>
      <c r="C274" s="212"/>
      <c r="D274" s="212"/>
      <c r="N274" s="431"/>
      <c r="O274" s="431"/>
      <c r="P274" s="431"/>
      <c r="Q274" s="431"/>
      <c r="R274" s="431"/>
      <c r="S274" s="431"/>
      <c r="T274" s="431"/>
      <c r="U274" s="431"/>
    </row>
    <row r="275" spans="1:21" x14ac:dyDescent="0.25">
      <c r="A275" s="212"/>
      <c r="B275" s="212"/>
      <c r="C275" s="212"/>
      <c r="D275" s="212"/>
      <c r="N275" s="431"/>
      <c r="O275" s="431"/>
      <c r="P275" s="431"/>
      <c r="Q275" s="431"/>
      <c r="R275" s="431"/>
      <c r="S275" s="431"/>
      <c r="T275" s="431"/>
      <c r="U275" s="431"/>
    </row>
    <row r="276" spans="1:21" x14ac:dyDescent="0.25">
      <c r="A276" s="212"/>
      <c r="B276" s="212"/>
      <c r="C276" s="212"/>
      <c r="D276" s="212"/>
      <c r="N276" s="431"/>
      <c r="O276" s="431"/>
      <c r="P276" s="431"/>
      <c r="Q276" s="431"/>
      <c r="R276" s="431"/>
      <c r="S276" s="431"/>
      <c r="T276" s="431"/>
      <c r="U276" s="431"/>
    </row>
    <row r="277" spans="1:21" x14ac:dyDescent="0.25">
      <c r="A277" s="212"/>
      <c r="B277" s="212"/>
      <c r="C277" s="212"/>
      <c r="D277" s="212"/>
      <c r="N277" s="431"/>
      <c r="O277" s="431"/>
      <c r="P277" s="431"/>
      <c r="Q277" s="431"/>
      <c r="R277" s="431"/>
      <c r="S277" s="431"/>
      <c r="T277" s="431"/>
      <c r="U277" s="431"/>
    </row>
    <row r="278" spans="1:21" x14ac:dyDescent="0.25">
      <c r="A278" s="212"/>
      <c r="B278" s="212"/>
      <c r="C278" s="212"/>
      <c r="D278" s="212"/>
      <c r="N278" s="431"/>
      <c r="O278" s="431"/>
      <c r="P278" s="431"/>
      <c r="Q278" s="431"/>
      <c r="R278" s="431"/>
      <c r="S278" s="431"/>
      <c r="T278" s="431"/>
      <c r="U278" s="431"/>
    </row>
    <row r="279" spans="1:21" x14ac:dyDescent="0.25">
      <c r="A279" s="212"/>
      <c r="B279" s="212"/>
      <c r="C279" s="212"/>
      <c r="D279" s="212"/>
      <c r="N279" s="431"/>
      <c r="O279" s="431"/>
      <c r="P279" s="431"/>
      <c r="Q279" s="431"/>
      <c r="R279" s="431"/>
      <c r="S279" s="431"/>
      <c r="T279" s="431"/>
      <c r="U279" s="431"/>
    </row>
    <row r="280" spans="1:21" x14ac:dyDescent="0.25">
      <c r="A280" s="212"/>
      <c r="B280" s="212"/>
      <c r="C280" s="212"/>
      <c r="D280" s="212"/>
      <c r="N280" s="431"/>
      <c r="O280" s="431"/>
      <c r="P280" s="431"/>
      <c r="Q280" s="431"/>
      <c r="R280" s="431"/>
      <c r="S280" s="431"/>
      <c r="T280" s="431"/>
      <c r="U280" s="431"/>
    </row>
    <row r="281" spans="1:21" x14ac:dyDescent="0.25">
      <c r="A281" s="212"/>
      <c r="B281" s="212"/>
      <c r="C281" s="212"/>
      <c r="D281" s="212"/>
      <c r="N281" s="431"/>
      <c r="O281" s="431"/>
      <c r="P281" s="431"/>
      <c r="Q281" s="431"/>
      <c r="R281" s="431"/>
      <c r="S281" s="431"/>
      <c r="T281" s="431"/>
      <c r="U281" s="431"/>
    </row>
    <row r="282" spans="1:21" x14ac:dyDescent="0.25">
      <c r="A282" s="212"/>
      <c r="B282" s="212"/>
      <c r="C282" s="212"/>
      <c r="D282" s="212"/>
      <c r="N282" s="431"/>
      <c r="O282" s="431"/>
      <c r="P282" s="431"/>
      <c r="Q282" s="431"/>
      <c r="R282" s="431"/>
      <c r="S282" s="431"/>
      <c r="T282" s="431"/>
      <c r="U282" s="431"/>
    </row>
    <row r="283" spans="1:21" x14ac:dyDescent="0.25">
      <c r="A283" s="212"/>
      <c r="B283" s="212"/>
      <c r="C283" s="212"/>
      <c r="D283" s="212"/>
      <c r="N283" s="431"/>
      <c r="O283" s="431"/>
      <c r="P283" s="431"/>
      <c r="Q283" s="431"/>
      <c r="R283" s="431"/>
      <c r="S283" s="431"/>
      <c r="T283" s="431"/>
      <c r="U283" s="431"/>
    </row>
    <row r="284" spans="1:21" x14ac:dyDescent="0.25">
      <c r="A284" s="212"/>
      <c r="B284" s="212"/>
      <c r="C284" s="212"/>
      <c r="D284" s="212"/>
      <c r="N284" s="431"/>
      <c r="O284" s="431"/>
      <c r="P284" s="431"/>
      <c r="Q284" s="431"/>
      <c r="R284" s="431"/>
      <c r="S284" s="431"/>
      <c r="T284" s="431"/>
      <c r="U284" s="431"/>
    </row>
    <row r="285" spans="1:21" x14ac:dyDescent="0.25">
      <c r="A285" s="212"/>
      <c r="B285" s="212"/>
      <c r="C285" s="212"/>
      <c r="D285" s="212"/>
      <c r="N285" s="431"/>
      <c r="O285" s="431"/>
      <c r="P285" s="431"/>
      <c r="Q285" s="431"/>
      <c r="R285" s="431"/>
      <c r="S285" s="431"/>
      <c r="T285" s="431"/>
      <c r="U285" s="431"/>
    </row>
    <row r="286" spans="1:21" x14ac:dyDescent="0.25">
      <c r="A286" s="212"/>
      <c r="B286" s="212"/>
      <c r="C286" s="212"/>
      <c r="D286" s="212"/>
      <c r="N286" s="431"/>
      <c r="O286" s="431"/>
      <c r="P286" s="431"/>
      <c r="Q286" s="431"/>
      <c r="R286" s="431"/>
      <c r="S286" s="431"/>
      <c r="T286" s="431"/>
      <c r="U286" s="431"/>
    </row>
    <row r="287" spans="1:21" x14ac:dyDescent="0.25">
      <c r="A287" s="212"/>
      <c r="B287" s="212"/>
      <c r="C287" s="212"/>
      <c r="D287" s="212"/>
      <c r="N287" s="431"/>
      <c r="O287" s="431"/>
      <c r="P287" s="431"/>
      <c r="Q287" s="431"/>
      <c r="R287" s="431"/>
      <c r="S287" s="431"/>
      <c r="T287" s="431"/>
      <c r="U287" s="431"/>
    </row>
    <row r="288" spans="1:21" x14ac:dyDescent="0.25">
      <c r="A288" s="212"/>
      <c r="B288" s="212"/>
      <c r="C288" s="212"/>
      <c r="D288" s="212"/>
      <c r="N288" s="431"/>
      <c r="O288" s="431"/>
      <c r="P288" s="431"/>
      <c r="Q288" s="431"/>
      <c r="R288" s="431"/>
      <c r="S288" s="431"/>
      <c r="T288" s="431"/>
      <c r="U288" s="431"/>
    </row>
    <row r="289" spans="1:21" x14ac:dyDescent="0.25">
      <c r="A289" s="212"/>
      <c r="B289" s="212"/>
      <c r="C289" s="212"/>
      <c r="D289" s="212"/>
      <c r="N289" s="431"/>
      <c r="O289" s="431"/>
      <c r="P289" s="431"/>
      <c r="Q289" s="431"/>
      <c r="R289" s="431"/>
      <c r="S289" s="431"/>
      <c r="T289" s="431"/>
      <c r="U289" s="431"/>
    </row>
    <row r="290" spans="1:21" x14ac:dyDescent="0.25">
      <c r="A290" s="212"/>
      <c r="B290" s="212"/>
      <c r="C290" s="212"/>
      <c r="D290" s="212"/>
      <c r="N290" s="431"/>
      <c r="O290" s="431"/>
      <c r="P290" s="431"/>
      <c r="Q290" s="431"/>
      <c r="R290" s="431"/>
      <c r="S290" s="431"/>
      <c r="T290" s="431"/>
      <c r="U290" s="431"/>
    </row>
    <row r="291" spans="1:21" x14ac:dyDescent="0.25">
      <c r="A291" s="212"/>
      <c r="B291" s="212"/>
      <c r="C291" s="212"/>
      <c r="D291" s="212"/>
      <c r="N291" s="431"/>
      <c r="O291" s="431"/>
      <c r="P291" s="431"/>
      <c r="Q291" s="431"/>
      <c r="R291" s="431"/>
      <c r="S291" s="431"/>
      <c r="T291" s="431"/>
      <c r="U291" s="431"/>
    </row>
    <row r="292" spans="1:21" x14ac:dyDescent="0.25">
      <c r="A292" s="212"/>
      <c r="B292" s="212"/>
      <c r="C292" s="212"/>
      <c r="D292" s="212"/>
      <c r="N292" s="431"/>
      <c r="O292" s="431"/>
      <c r="P292" s="431"/>
      <c r="Q292" s="431"/>
      <c r="R292" s="431"/>
      <c r="S292" s="431"/>
      <c r="T292" s="431"/>
      <c r="U292" s="431"/>
    </row>
    <row r="293" spans="1:21" x14ac:dyDescent="0.25">
      <c r="A293" s="212"/>
      <c r="B293" s="212"/>
      <c r="C293" s="212"/>
      <c r="D293" s="212"/>
      <c r="N293" s="431"/>
      <c r="O293" s="431"/>
      <c r="P293" s="431"/>
      <c r="Q293" s="431"/>
      <c r="R293" s="431"/>
      <c r="S293" s="431"/>
      <c r="T293" s="431"/>
      <c r="U293" s="431"/>
    </row>
    <row r="294" spans="1:21" x14ac:dyDescent="0.25">
      <c r="A294" s="212"/>
      <c r="B294" s="212"/>
      <c r="C294" s="212"/>
      <c r="D294" s="212"/>
      <c r="N294" s="431"/>
      <c r="O294" s="431"/>
      <c r="P294" s="431"/>
      <c r="Q294" s="431"/>
      <c r="R294" s="431"/>
      <c r="S294" s="431"/>
      <c r="T294" s="431"/>
      <c r="U294" s="431"/>
    </row>
    <row r="295" spans="1:21" x14ac:dyDescent="0.25">
      <c r="A295" s="212"/>
      <c r="B295" s="212"/>
      <c r="C295" s="212"/>
      <c r="D295" s="212"/>
      <c r="N295" s="431"/>
      <c r="O295" s="431"/>
      <c r="P295" s="431"/>
      <c r="Q295" s="431"/>
      <c r="R295" s="431"/>
      <c r="S295" s="431"/>
      <c r="T295" s="431"/>
      <c r="U295" s="431"/>
    </row>
    <row r="296" spans="1:21" x14ac:dyDescent="0.25">
      <c r="A296" s="212"/>
      <c r="B296" s="212"/>
      <c r="C296" s="212"/>
      <c r="D296" s="212"/>
      <c r="N296" s="431"/>
      <c r="O296" s="431"/>
      <c r="P296" s="431"/>
      <c r="Q296" s="431"/>
      <c r="R296" s="431"/>
      <c r="S296" s="431"/>
      <c r="T296" s="431"/>
      <c r="U296" s="431"/>
    </row>
    <row r="297" spans="1:21" x14ac:dyDescent="0.25">
      <c r="A297" s="212"/>
      <c r="B297" s="212"/>
      <c r="C297" s="212"/>
      <c r="D297" s="212"/>
      <c r="N297" s="431"/>
      <c r="O297" s="431"/>
      <c r="P297" s="431"/>
      <c r="Q297" s="431"/>
      <c r="R297" s="431"/>
      <c r="S297" s="431"/>
      <c r="T297" s="431"/>
      <c r="U297" s="431"/>
    </row>
    <row r="298" spans="1:21" x14ac:dyDescent="0.25">
      <c r="A298" s="212"/>
      <c r="B298" s="212"/>
      <c r="C298" s="212"/>
      <c r="D298" s="212"/>
      <c r="N298" s="431"/>
      <c r="O298" s="431"/>
      <c r="P298" s="431"/>
      <c r="Q298" s="431"/>
      <c r="R298" s="431"/>
      <c r="S298" s="431"/>
      <c r="T298" s="431"/>
      <c r="U298" s="431"/>
    </row>
    <row r="299" spans="1:21" x14ac:dyDescent="0.25">
      <c r="A299" s="212"/>
      <c r="B299" s="212"/>
      <c r="C299" s="212"/>
      <c r="D299" s="212"/>
      <c r="N299" s="431"/>
      <c r="O299" s="431"/>
      <c r="P299" s="431"/>
      <c r="Q299" s="431"/>
      <c r="R299" s="431"/>
      <c r="S299" s="431"/>
      <c r="T299" s="431"/>
      <c r="U299" s="431"/>
    </row>
    <row r="300" spans="1:21" x14ac:dyDescent="0.25">
      <c r="A300" s="212"/>
      <c r="B300" s="212"/>
      <c r="C300" s="212"/>
      <c r="D300" s="212"/>
      <c r="N300" s="431"/>
      <c r="O300" s="431"/>
      <c r="P300" s="431"/>
      <c r="Q300" s="431"/>
      <c r="R300" s="431"/>
      <c r="S300" s="431"/>
      <c r="T300" s="431"/>
      <c r="U300" s="431"/>
    </row>
    <row r="301" spans="1:21" x14ac:dyDescent="0.25">
      <c r="A301" s="212"/>
      <c r="B301" s="212"/>
      <c r="C301" s="212"/>
      <c r="D301" s="212"/>
      <c r="N301" s="431"/>
      <c r="O301" s="431"/>
      <c r="P301" s="431"/>
      <c r="Q301" s="431"/>
      <c r="R301" s="431"/>
      <c r="S301" s="431"/>
      <c r="T301" s="431"/>
      <c r="U301" s="431"/>
    </row>
    <row r="302" spans="1:21" x14ac:dyDescent="0.25">
      <c r="A302" s="212"/>
      <c r="B302" s="212"/>
      <c r="C302" s="212"/>
      <c r="D302" s="212"/>
      <c r="N302" s="431"/>
      <c r="O302" s="431"/>
      <c r="P302" s="431"/>
      <c r="Q302" s="431"/>
      <c r="R302" s="431"/>
      <c r="S302" s="431"/>
      <c r="T302" s="431"/>
      <c r="U302" s="431"/>
    </row>
    <row r="303" spans="1:21" x14ac:dyDescent="0.25">
      <c r="A303" s="212"/>
      <c r="B303" s="212"/>
      <c r="C303" s="212"/>
      <c r="D303" s="212"/>
      <c r="N303" s="431"/>
      <c r="O303" s="431"/>
      <c r="P303" s="431"/>
      <c r="Q303" s="431"/>
      <c r="R303" s="431"/>
      <c r="S303" s="431"/>
      <c r="T303" s="431"/>
      <c r="U303" s="431"/>
    </row>
    <row r="304" spans="1:21" x14ac:dyDescent="0.25">
      <c r="A304" s="212"/>
      <c r="B304" s="212"/>
      <c r="C304" s="212"/>
      <c r="D304" s="212"/>
      <c r="N304" s="431"/>
      <c r="O304" s="431"/>
      <c r="P304" s="431"/>
      <c r="Q304" s="431"/>
      <c r="R304" s="431"/>
      <c r="S304" s="431"/>
      <c r="T304" s="431"/>
      <c r="U304" s="431"/>
    </row>
    <row r="305" spans="1:21" x14ac:dyDescent="0.25">
      <c r="A305" s="212"/>
      <c r="B305" s="212"/>
      <c r="C305" s="212"/>
      <c r="D305" s="212"/>
      <c r="N305" s="431"/>
      <c r="O305" s="431"/>
      <c r="P305" s="431"/>
      <c r="Q305" s="431"/>
      <c r="R305" s="431"/>
      <c r="S305" s="431"/>
      <c r="T305" s="431"/>
      <c r="U305" s="431"/>
    </row>
    <row r="306" spans="1:21" x14ac:dyDescent="0.25">
      <c r="A306" s="212"/>
      <c r="B306" s="212"/>
      <c r="C306" s="212"/>
      <c r="D306" s="212"/>
      <c r="N306" s="431"/>
      <c r="O306" s="431"/>
      <c r="P306" s="431"/>
      <c r="Q306" s="431"/>
      <c r="R306" s="431"/>
      <c r="S306" s="431"/>
      <c r="T306" s="431"/>
      <c r="U306" s="431"/>
    </row>
    <row r="307" spans="1:21" x14ac:dyDescent="0.25">
      <c r="A307" s="212"/>
      <c r="B307" s="212"/>
      <c r="C307" s="212"/>
      <c r="D307" s="212"/>
      <c r="N307" s="431"/>
      <c r="O307" s="431"/>
      <c r="P307" s="431"/>
      <c r="Q307" s="431"/>
      <c r="R307" s="431"/>
      <c r="S307" s="431"/>
      <c r="T307" s="431"/>
      <c r="U307" s="431"/>
    </row>
    <row r="308" spans="1:21" x14ac:dyDescent="0.25">
      <c r="A308" s="212"/>
      <c r="B308" s="212"/>
      <c r="C308" s="212"/>
      <c r="D308" s="212"/>
      <c r="N308" s="431"/>
      <c r="O308" s="431"/>
      <c r="P308" s="431"/>
      <c r="Q308" s="431"/>
      <c r="R308" s="431"/>
      <c r="S308" s="431"/>
      <c r="T308" s="431"/>
      <c r="U308" s="431"/>
    </row>
    <row r="309" spans="1:21" x14ac:dyDescent="0.25">
      <c r="A309" s="212"/>
      <c r="B309" s="212"/>
      <c r="C309" s="212"/>
      <c r="D309" s="212"/>
      <c r="N309" s="431"/>
      <c r="O309" s="431"/>
      <c r="P309" s="431"/>
      <c r="Q309" s="431"/>
      <c r="R309" s="431"/>
      <c r="S309" s="431"/>
      <c r="T309" s="431"/>
      <c r="U309" s="431"/>
    </row>
    <row r="310" spans="1:21" x14ac:dyDescent="0.25">
      <c r="A310" s="212"/>
      <c r="B310" s="212"/>
      <c r="C310" s="212"/>
      <c r="D310" s="212"/>
      <c r="N310" s="431"/>
      <c r="O310" s="431"/>
      <c r="P310" s="431"/>
      <c r="Q310" s="431"/>
      <c r="R310" s="431"/>
      <c r="S310" s="431"/>
      <c r="T310" s="431"/>
      <c r="U310" s="431"/>
    </row>
    <row r="311" spans="1:21" x14ac:dyDescent="0.25">
      <c r="A311" s="212"/>
      <c r="B311" s="212"/>
      <c r="C311" s="212"/>
      <c r="D311" s="212"/>
      <c r="N311" s="431"/>
      <c r="O311" s="431"/>
      <c r="P311" s="431"/>
      <c r="Q311" s="431"/>
      <c r="R311" s="431"/>
      <c r="S311" s="431"/>
      <c r="T311" s="431"/>
      <c r="U311" s="431"/>
    </row>
    <row r="312" spans="1:21" x14ac:dyDescent="0.25">
      <c r="A312" s="212"/>
      <c r="B312" s="212"/>
      <c r="C312" s="212"/>
      <c r="D312" s="212"/>
      <c r="N312" s="431"/>
      <c r="O312" s="431"/>
      <c r="P312" s="431"/>
      <c r="Q312" s="431"/>
      <c r="R312" s="431"/>
      <c r="S312" s="431"/>
      <c r="T312" s="431"/>
      <c r="U312" s="431"/>
    </row>
    <row r="313" spans="1:21" x14ac:dyDescent="0.25">
      <c r="A313" s="212"/>
      <c r="B313" s="212"/>
      <c r="C313" s="212"/>
      <c r="D313" s="212"/>
      <c r="N313" s="431"/>
      <c r="O313" s="431"/>
      <c r="P313" s="431"/>
      <c r="Q313" s="431"/>
      <c r="R313" s="431"/>
      <c r="S313" s="431"/>
      <c r="T313" s="431"/>
      <c r="U313" s="431"/>
    </row>
    <row r="314" spans="1:21" x14ac:dyDescent="0.25">
      <c r="A314" s="212"/>
      <c r="B314" s="212"/>
      <c r="C314" s="212"/>
      <c r="D314" s="212"/>
      <c r="N314" s="431"/>
      <c r="O314" s="431"/>
      <c r="P314" s="431"/>
      <c r="Q314" s="431"/>
      <c r="R314" s="431"/>
      <c r="S314" s="431"/>
      <c r="T314" s="431"/>
      <c r="U314" s="431"/>
    </row>
    <row r="315" spans="1:21" x14ac:dyDescent="0.25">
      <c r="A315" s="212"/>
      <c r="B315" s="212"/>
      <c r="C315" s="212"/>
      <c r="D315" s="212"/>
      <c r="N315" s="431"/>
      <c r="O315" s="431"/>
      <c r="P315" s="431"/>
      <c r="Q315" s="431"/>
      <c r="R315" s="431"/>
      <c r="S315" s="431"/>
      <c r="T315" s="431"/>
      <c r="U315" s="431"/>
    </row>
    <row r="316" spans="1:21" x14ac:dyDescent="0.25">
      <c r="A316" s="212"/>
      <c r="B316" s="212"/>
      <c r="C316" s="212"/>
      <c r="D316" s="212"/>
      <c r="N316" s="431"/>
      <c r="O316" s="431"/>
      <c r="P316" s="431"/>
      <c r="Q316" s="431"/>
      <c r="R316" s="431"/>
      <c r="S316" s="431"/>
      <c r="T316" s="431"/>
      <c r="U316" s="431"/>
    </row>
    <row r="317" spans="1:21" x14ac:dyDescent="0.25">
      <c r="A317" s="212"/>
      <c r="B317" s="212"/>
      <c r="C317" s="212"/>
      <c r="D317" s="212"/>
      <c r="N317" s="431"/>
      <c r="O317" s="431"/>
      <c r="P317" s="431"/>
      <c r="Q317" s="431"/>
      <c r="R317" s="431"/>
      <c r="S317" s="431"/>
      <c r="T317" s="431"/>
      <c r="U317" s="431"/>
    </row>
    <row r="318" spans="1:21" x14ac:dyDescent="0.25">
      <c r="A318" s="212"/>
      <c r="B318" s="212"/>
      <c r="C318" s="212"/>
      <c r="D318" s="212"/>
      <c r="N318" s="431"/>
      <c r="O318" s="431"/>
      <c r="P318" s="431"/>
      <c r="Q318" s="431"/>
      <c r="R318" s="431"/>
      <c r="S318" s="431"/>
      <c r="T318" s="431"/>
      <c r="U318" s="431"/>
    </row>
    <row r="319" spans="1:21" x14ac:dyDescent="0.25">
      <c r="A319" s="212"/>
      <c r="B319" s="212"/>
      <c r="C319" s="212"/>
      <c r="D319" s="212"/>
      <c r="N319" s="431"/>
      <c r="O319" s="431"/>
      <c r="P319" s="431"/>
      <c r="Q319" s="431"/>
      <c r="R319" s="431"/>
      <c r="S319" s="431"/>
      <c r="T319" s="431"/>
      <c r="U319" s="431"/>
    </row>
    <row r="320" spans="1:21" x14ac:dyDescent="0.25">
      <c r="A320" s="212"/>
      <c r="B320" s="212"/>
      <c r="C320" s="212"/>
      <c r="D320" s="212"/>
      <c r="N320" s="431"/>
      <c r="O320" s="431"/>
      <c r="P320" s="431"/>
      <c r="Q320" s="431"/>
      <c r="R320" s="431"/>
      <c r="S320" s="431"/>
      <c r="T320" s="431"/>
      <c r="U320" s="431"/>
    </row>
    <row r="321" spans="1:21" x14ac:dyDescent="0.25">
      <c r="A321" s="212"/>
      <c r="B321" s="212"/>
      <c r="C321" s="212"/>
      <c r="D321" s="212"/>
      <c r="N321" s="431"/>
      <c r="O321" s="431"/>
      <c r="P321" s="431"/>
      <c r="Q321" s="431"/>
      <c r="R321" s="431"/>
      <c r="S321" s="431"/>
      <c r="T321" s="431"/>
      <c r="U321" s="431"/>
    </row>
    <row r="322" spans="1:21" x14ac:dyDescent="0.25">
      <c r="A322" s="212"/>
      <c r="B322" s="212"/>
      <c r="C322" s="212"/>
      <c r="D322" s="212"/>
      <c r="N322" s="431"/>
      <c r="O322" s="431"/>
      <c r="P322" s="431"/>
      <c r="Q322" s="431"/>
      <c r="R322" s="431"/>
      <c r="S322" s="431"/>
      <c r="T322" s="431"/>
      <c r="U322" s="431"/>
    </row>
    <row r="323" spans="1:21" x14ac:dyDescent="0.25">
      <c r="A323" s="212"/>
      <c r="B323" s="212"/>
      <c r="C323" s="212"/>
      <c r="D323" s="212"/>
      <c r="N323" s="431"/>
      <c r="O323" s="431"/>
      <c r="P323" s="431"/>
      <c r="Q323" s="431"/>
      <c r="R323" s="431"/>
      <c r="S323" s="431"/>
      <c r="T323" s="431"/>
      <c r="U323" s="431"/>
    </row>
    <row r="324" spans="1:21" x14ac:dyDescent="0.25">
      <c r="A324" s="212"/>
      <c r="B324" s="212"/>
      <c r="C324" s="212"/>
      <c r="D324" s="212"/>
      <c r="N324" s="431"/>
      <c r="O324" s="431"/>
      <c r="P324" s="431"/>
      <c r="Q324" s="431"/>
      <c r="R324" s="431"/>
      <c r="S324" s="431"/>
      <c r="T324" s="431"/>
      <c r="U324" s="431"/>
    </row>
    <row r="325" spans="1:21" x14ac:dyDescent="0.25">
      <c r="A325" s="212"/>
      <c r="B325" s="212"/>
      <c r="C325" s="212"/>
      <c r="D325" s="212"/>
      <c r="N325" s="431"/>
      <c r="O325" s="431"/>
      <c r="P325" s="431"/>
      <c r="Q325" s="431"/>
      <c r="R325" s="431"/>
      <c r="S325" s="431"/>
      <c r="T325" s="431"/>
      <c r="U325" s="431"/>
    </row>
    <row r="326" spans="1:21" x14ac:dyDescent="0.25">
      <c r="A326" s="212"/>
      <c r="B326" s="212"/>
      <c r="C326" s="212"/>
      <c r="D326" s="212"/>
      <c r="N326" s="431"/>
      <c r="O326" s="431"/>
      <c r="P326" s="431"/>
      <c r="Q326" s="431"/>
      <c r="R326" s="431"/>
      <c r="S326" s="431"/>
      <c r="T326" s="431"/>
      <c r="U326" s="431"/>
    </row>
    <row r="327" spans="1:21" x14ac:dyDescent="0.25">
      <c r="A327" s="212"/>
      <c r="B327" s="212"/>
      <c r="C327" s="212"/>
      <c r="D327" s="212"/>
      <c r="N327" s="431"/>
      <c r="O327" s="431"/>
      <c r="P327" s="431"/>
      <c r="Q327" s="431"/>
      <c r="R327" s="431"/>
      <c r="S327" s="431"/>
      <c r="T327" s="431"/>
      <c r="U327" s="431"/>
    </row>
    <row r="328" spans="1:21" x14ac:dyDescent="0.25">
      <c r="A328" s="212"/>
      <c r="B328" s="212"/>
      <c r="C328" s="212"/>
      <c r="D328" s="212"/>
      <c r="N328" s="431"/>
      <c r="O328" s="431"/>
      <c r="P328" s="431"/>
      <c r="Q328" s="431"/>
      <c r="R328" s="431"/>
      <c r="S328" s="431"/>
      <c r="T328" s="431"/>
      <c r="U328" s="431"/>
    </row>
    <row r="329" spans="1:21" x14ac:dyDescent="0.25">
      <c r="A329" s="212"/>
      <c r="B329" s="212"/>
      <c r="C329" s="212"/>
      <c r="D329" s="212"/>
      <c r="N329" s="431"/>
      <c r="O329" s="431"/>
      <c r="P329" s="431"/>
      <c r="Q329" s="431"/>
      <c r="R329" s="431"/>
      <c r="S329" s="431"/>
      <c r="T329" s="431"/>
      <c r="U329" s="431"/>
    </row>
    <row r="330" spans="1:21" x14ac:dyDescent="0.25">
      <c r="A330" s="212"/>
      <c r="B330" s="212"/>
      <c r="C330" s="212"/>
      <c r="D330" s="212"/>
      <c r="N330" s="431"/>
      <c r="O330" s="431"/>
      <c r="P330" s="431"/>
      <c r="Q330" s="431"/>
      <c r="R330" s="431"/>
      <c r="S330" s="431"/>
      <c r="T330" s="431"/>
      <c r="U330" s="431"/>
    </row>
    <row r="331" spans="1:21" x14ac:dyDescent="0.25">
      <c r="A331" s="212"/>
      <c r="B331" s="212"/>
      <c r="C331" s="212"/>
      <c r="D331" s="212"/>
      <c r="N331" s="431"/>
      <c r="O331" s="431"/>
      <c r="P331" s="431"/>
      <c r="Q331" s="431"/>
      <c r="R331" s="431"/>
      <c r="S331" s="431"/>
      <c r="T331" s="431"/>
      <c r="U331" s="431"/>
    </row>
    <row r="332" spans="1:21" x14ac:dyDescent="0.25">
      <c r="A332" s="212"/>
      <c r="B332" s="212"/>
      <c r="C332" s="212"/>
      <c r="D332" s="212"/>
      <c r="N332" s="431"/>
      <c r="O332" s="431"/>
      <c r="P332" s="431"/>
      <c r="Q332" s="431"/>
      <c r="R332" s="431"/>
      <c r="S332" s="431"/>
      <c r="T332" s="431"/>
      <c r="U332" s="431"/>
    </row>
    <row r="333" spans="1:21" x14ac:dyDescent="0.25">
      <c r="A333" s="212"/>
      <c r="B333" s="212"/>
      <c r="C333" s="212"/>
      <c r="D333" s="212"/>
      <c r="N333" s="431"/>
      <c r="O333" s="431"/>
      <c r="P333" s="431"/>
      <c r="Q333" s="431"/>
      <c r="R333" s="431"/>
      <c r="S333" s="431"/>
      <c r="T333" s="431"/>
      <c r="U333" s="431"/>
    </row>
    <row r="334" spans="1:21" x14ac:dyDescent="0.25">
      <c r="A334" s="212"/>
      <c r="B334" s="212"/>
      <c r="C334" s="212"/>
      <c r="D334" s="212"/>
      <c r="N334" s="431"/>
      <c r="O334" s="431"/>
      <c r="P334" s="431"/>
      <c r="Q334" s="431"/>
      <c r="R334" s="431"/>
      <c r="S334" s="431"/>
      <c r="T334" s="431"/>
      <c r="U334" s="431"/>
    </row>
    <row r="335" spans="1:21" x14ac:dyDescent="0.25">
      <c r="A335" s="212"/>
      <c r="B335" s="212"/>
      <c r="C335" s="212"/>
      <c r="D335" s="212"/>
    </row>
  </sheetData>
  <mergeCells count="1">
    <mergeCell ref="A1:V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6" fitToHeight="0" orientation="portrait" r:id="rId1"/>
  <rowBreaks count="1" manualBreakCount="1"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"/>
  <sheetViews>
    <sheetView zoomScaleNormal="100" workbookViewId="0">
      <selection activeCell="A2" sqref="A2"/>
    </sheetView>
  </sheetViews>
  <sheetFormatPr defaultRowHeight="15" x14ac:dyDescent="0.25"/>
  <cols>
    <col min="1" max="1" width="5.28515625" style="128" customWidth="1"/>
    <col min="2" max="2" width="4.85546875" style="128" customWidth="1"/>
    <col min="3" max="3" width="6.7109375" style="128" customWidth="1"/>
    <col min="4" max="4" width="5.28515625" style="128" customWidth="1"/>
    <col min="5" max="5" width="59" style="128" customWidth="1"/>
    <col min="6" max="6" width="13.85546875" style="128" hidden="1" customWidth="1"/>
    <col min="7" max="8" width="12.7109375" style="128" customWidth="1"/>
    <col min="9" max="9" width="14.28515625" style="128" customWidth="1"/>
    <col min="10" max="11" width="9.140625" style="128" hidden="1" customWidth="1"/>
    <col min="12" max="13" width="0" style="128" hidden="1" customWidth="1"/>
    <col min="14" max="16384" width="9.140625" style="128"/>
  </cols>
  <sheetData>
    <row r="1" spans="1:13" ht="37.5" customHeight="1" x14ac:dyDescent="0.25">
      <c r="A1" s="628" t="s">
        <v>265</v>
      </c>
      <c r="B1" s="628"/>
      <c r="C1" s="628"/>
      <c r="D1" s="628"/>
      <c r="E1" s="628"/>
      <c r="F1" s="628"/>
      <c r="G1" s="628"/>
      <c r="H1" s="628"/>
      <c r="I1" s="628"/>
      <c r="J1" s="333"/>
      <c r="K1" s="294"/>
    </row>
    <row r="2" spans="1:13" ht="19.5" thickBot="1" x14ac:dyDescent="0.3">
      <c r="A2" s="404"/>
      <c r="B2" s="333"/>
      <c r="C2" s="333"/>
      <c r="D2" s="333"/>
      <c r="E2" s="236"/>
      <c r="F2" s="236"/>
      <c r="G2" s="333"/>
      <c r="H2" s="333"/>
      <c r="I2" s="293"/>
      <c r="J2" s="333"/>
      <c r="K2" s="294"/>
      <c r="M2" s="493" t="s">
        <v>246</v>
      </c>
    </row>
    <row r="3" spans="1:13" ht="39.75" thickTop="1" thickBot="1" x14ac:dyDescent="0.3">
      <c r="A3" s="334" t="s">
        <v>15</v>
      </c>
      <c r="B3" s="335" t="s">
        <v>16</v>
      </c>
      <c r="C3" s="335" t="s">
        <v>17</v>
      </c>
      <c r="D3" s="335" t="s">
        <v>18</v>
      </c>
      <c r="E3" s="336"/>
      <c r="F3" s="132" t="s">
        <v>216</v>
      </c>
      <c r="G3" s="132" t="s">
        <v>242</v>
      </c>
      <c r="H3" s="132" t="s">
        <v>248</v>
      </c>
      <c r="I3" s="132" t="s">
        <v>256</v>
      </c>
      <c r="J3" s="377" t="s">
        <v>2</v>
      </c>
      <c r="K3" s="337" t="s">
        <v>20</v>
      </c>
      <c r="L3" s="132" t="s">
        <v>238</v>
      </c>
      <c r="M3" s="132" t="s">
        <v>241</v>
      </c>
    </row>
    <row r="4" spans="1:13" ht="16.5" thickTop="1" x14ac:dyDescent="0.25">
      <c r="A4" s="338"/>
      <c r="B4" s="339"/>
      <c r="C4" s="148"/>
      <c r="D4" s="148"/>
      <c r="E4" s="340" t="s">
        <v>13</v>
      </c>
      <c r="F4" s="371">
        <v>0</v>
      </c>
      <c r="G4" s="151">
        <v>0</v>
      </c>
      <c r="H4" s="584">
        <f>I4-G4</f>
        <v>0</v>
      </c>
      <c r="I4" s="341">
        <v>0</v>
      </c>
      <c r="J4" s="378">
        <v>0</v>
      </c>
      <c r="K4" s="341">
        <v>0</v>
      </c>
      <c r="L4" s="341">
        <v>0</v>
      </c>
      <c r="M4" s="341">
        <v>0</v>
      </c>
    </row>
    <row r="5" spans="1:13" x14ac:dyDescent="0.25">
      <c r="A5" s="342">
        <v>8</v>
      </c>
      <c r="B5" s="339"/>
      <c r="C5" s="148"/>
      <c r="D5" s="148"/>
      <c r="E5" s="343" t="s">
        <v>11</v>
      </c>
      <c r="F5" s="344">
        <v>0</v>
      </c>
      <c r="G5" s="151">
        <v>0</v>
      </c>
      <c r="H5" s="584">
        <f t="shared" ref="H5:H19" si="0">I5-G5</f>
        <v>0</v>
      </c>
      <c r="I5" s="341">
        <v>0</v>
      </c>
      <c r="J5" s="378">
        <v>0</v>
      </c>
      <c r="K5" s="341">
        <v>0</v>
      </c>
      <c r="L5" s="341">
        <v>0</v>
      </c>
      <c r="M5" s="341">
        <v>0</v>
      </c>
    </row>
    <row r="6" spans="1:13" x14ac:dyDescent="0.25">
      <c r="A6" s="345"/>
      <c r="B6" s="339">
        <v>84</v>
      </c>
      <c r="C6" s="148"/>
      <c r="D6" s="148"/>
      <c r="E6" s="261" t="s">
        <v>166</v>
      </c>
      <c r="F6" s="346">
        <v>0</v>
      </c>
      <c r="G6" s="151">
        <v>0</v>
      </c>
      <c r="H6" s="584">
        <f t="shared" si="0"/>
        <v>0</v>
      </c>
      <c r="I6" s="341">
        <v>0</v>
      </c>
      <c r="J6" s="378">
        <v>0</v>
      </c>
      <c r="K6" s="341">
        <v>0</v>
      </c>
      <c r="L6" s="341">
        <v>0</v>
      </c>
      <c r="M6" s="341">
        <v>0</v>
      </c>
    </row>
    <row r="7" spans="1:13" ht="26.25" x14ac:dyDescent="0.25">
      <c r="A7" s="347"/>
      <c r="B7" s="348"/>
      <c r="C7" s="154">
        <v>844</v>
      </c>
      <c r="D7" s="154"/>
      <c r="E7" s="251" t="s">
        <v>167</v>
      </c>
      <c r="F7" s="349">
        <v>0</v>
      </c>
      <c r="G7" s="157">
        <v>0</v>
      </c>
      <c r="H7" s="585">
        <f t="shared" si="0"/>
        <v>0</v>
      </c>
      <c r="I7" s="353">
        <v>0</v>
      </c>
      <c r="J7" s="379"/>
      <c r="K7" s="350"/>
      <c r="L7" s="353">
        <v>0</v>
      </c>
      <c r="M7" s="353">
        <v>0</v>
      </c>
    </row>
    <row r="8" spans="1:13" x14ac:dyDescent="0.25">
      <c r="A8" s="347"/>
      <c r="B8" s="351"/>
      <c r="C8" s="154"/>
      <c r="D8" s="154"/>
      <c r="E8" s="251" t="s">
        <v>168</v>
      </c>
      <c r="F8" s="349">
        <v>0</v>
      </c>
      <c r="G8" s="353">
        <v>0</v>
      </c>
      <c r="H8" s="585">
        <f t="shared" si="0"/>
        <v>0</v>
      </c>
      <c r="I8" s="353">
        <v>0</v>
      </c>
      <c r="J8" s="379"/>
      <c r="K8" s="350"/>
      <c r="L8" s="353"/>
      <c r="M8" s="353"/>
    </row>
    <row r="9" spans="1:13" x14ac:dyDescent="0.25">
      <c r="A9" s="347"/>
      <c r="B9" s="351"/>
      <c r="C9" s="154">
        <v>847</v>
      </c>
      <c r="D9" s="154"/>
      <c r="E9" s="256" t="s">
        <v>169</v>
      </c>
      <c r="F9" s="349">
        <v>0</v>
      </c>
      <c r="G9" s="157">
        <v>0</v>
      </c>
      <c r="H9" s="585">
        <f t="shared" si="0"/>
        <v>0</v>
      </c>
      <c r="I9" s="353">
        <v>0</v>
      </c>
      <c r="J9" s="379">
        <v>0</v>
      </c>
      <c r="K9" s="350">
        <v>0</v>
      </c>
      <c r="L9" s="353">
        <v>0</v>
      </c>
      <c r="M9" s="353">
        <v>0</v>
      </c>
    </row>
    <row r="10" spans="1:13" x14ac:dyDescent="0.25">
      <c r="A10" s="140"/>
      <c r="B10" s="352"/>
      <c r="C10" s="148"/>
      <c r="D10" s="154"/>
      <c r="E10" s="251" t="s">
        <v>170</v>
      </c>
      <c r="F10" s="349">
        <v>0</v>
      </c>
      <c r="G10" s="157"/>
      <c r="H10" s="585">
        <f t="shared" si="0"/>
        <v>0</v>
      </c>
      <c r="I10" s="353"/>
      <c r="J10" s="380"/>
      <c r="K10" s="353"/>
      <c r="L10" s="353"/>
      <c r="M10" s="353"/>
    </row>
    <row r="11" spans="1:13" x14ac:dyDescent="0.25">
      <c r="A11" s="342">
        <v>5</v>
      </c>
      <c r="B11" s="339"/>
      <c r="C11" s="148"/>
      <c r="D11" s="148"/>
      <c r="E11" s="343" t="s">
        <v>12</v>
      </c>
      <c r="F11" s="344">
        <v>0</v>
      </c>
      <c r="G11" s="151">
        <v>0</v>
      </c>
      <c r="H11" s="584">
        <f t="shared" si="0"/>
        <v>0</v>
      </c>
      <c r="I11" s="341">
        <v>0</v>
      </c>
      <c r="J11" s="378">
        <v>0</v>
      </c>
      <c r="K11" s="341">
        <v>0</v>
      </c>
      <c r="L11" s="341">
        <v>0</v>
      </c>
      <c r="M11" s="341">
        <v>0</v>
      </c>
    </row>
    <row r="12" spans="1:13" x14ac:dyDescent="0.25">
      <c r="A12" s="354"/>
      <c r="B12" s="339">
        <v>54</v>
      </c>
      <c r="C12" s="154"/>
      <c r="D12" s="154"/>
      <c r="E12" s="261" t="s">
        <v>171</v>
      </c>
      <c r="F12" s="346">
        <v>0</v>
      </c>
      <c r="G12" s="151">
        <v>0</v>
      </c>
      <c r="H12" s="584">
        <f t="shared" si="0"/>
        <v>0</v>
      </c>
      <c r="I12" s="341">
        <v>0</v>
      </c>
      <c r="J12" s="378">
        <v>0</v>
      </c>
      <c r="K12" s="341">
        <v>0</v>
      </c>
      <c r="L12" s="341">
        <v>0</v>
      </c>
      <c r="M12" s="341">
        <v>0</v>
      </c>
    </row>
    <row r="13" spans="1:13" ht="26.25" x14ac:dyDescent="0.25">
      <c r="A13" s="355"/>
      <c r="B13" s="141"/>
      <c r="C13" s="154">
        <v>542</v>
      </c>
      <c r="D13" s="154"/>
      <c r="E13" s="251" t="s">
        <v>172</v>
      </c>
      <c r="F13" s="349">
        <v>0</v>
      </c>
      <c r="G13" s="157">
        <v>0</v>
      </c>
      <c r="H13" s="585">
        <f t="shared" si="0"/>
        <v>0</v>
      </c>
      <c r="I13" s="353">
        <v>0</v>
      </c>
      <c r="J13" s="379">
        <v>0</v>
      </c>
      <c r="K13" s="350">
        <v>0</v>
      </c>
      <c r="L13" s="353"/>
      <c r="M13" s="353"/>
    </row>
    <row r="14" spans="1:13" ht="26.25" x14ac:dyDescent="0.25">
      <c r="A14" s="356"/>
      <c r="B14" s="141"/>
      <c r="C14" s="154"/>
      <c r="D14" s="154"/>
      <c r="E14" s="251" t="s">
        <v>173</v>
      </c>
      <c r="F14" s="349">
        <v>0</v>
      </c>
      <c r="G14" s="157">
        <v>0</v>
      </c>
      <c r="H14" s="585">
        <f t="shared" si="0"/>
        <v>0</v>
      </c>
      <c r="I14" s="353">
        <v>0</v>
      </c>
      <c r="J14" s="379"/>
      <c r="K14" s="350"/>
      <c r="L14" s="353"/>
      <c r="M14" s="353"/>
    </row>
    <row r="15" spans="1:13" ht="26.25" x14ac:dyDescent="0.25">
      <c r="A15" s="354"/>
      <c r="B15" s="348"/>
      <c r="C15" s="154">
        <v>544</v>
      </c>
      <c r="D15" s="154"/>
      <c r="E15" s="256" t="s">
        <v>174</v>
      </c>
      <c r="F15" s="349">
        <v>0</v>
      </c>
      <c r="G15" s="157">
        <v>0</v>
      </c>
      <c r="H15" s="585">
        <f t="shared" si="0"/>
        <v>0</v>
      </c>
      <c r="I15" s="353">
        <v>0</v>
      </c>
      <c r="J15" s="379"/>
      <c r="K15" s="350"/>
      <c r="L15" s="353">
        <v>0</v>
      </c>
      <c r="M15" s="353">
        <v>0</v>
      </c>
    </row>
    <row r="16" spans="1:13" ht="26.25" x14ac:dyDescent="0.25">
      <c r="A16" s="347"/>
      <c r="B16" s="351"/>
      <c r="C16" s="148"/>
      <c r="D16" s="154"/>
      <c r="E16" s="256" t="s">
        <v>175</v>
      </c>
      <c r="F16" s="349">
        <v>0</v>
      </c>
      <c r="G16" s="157">
        <v>0</v>
      </c>
      <c r="H16" s="585">
        <f t="shared" si="0"/>
        <v>0</v>
      </c>
      <c r="I16" s="353">
        <v>0</v>
      </c>
      <c r="J16" s="380"/>
      <c r="K16" s="353"/>
      <c r="L16" s="353">
        <v>0</v>
      </c>
      <c r="M16" s="353">
        <v>0</v>
      </c>
    </row>
    <row r="17" spans="1:13" x14ac:dyDescent="0.25">
      <c r="A17" s="347"/>
      <c r="B17" s="351"/>
      <c r="C17" s="148"/>
      <c r="D17" s="154"/>
      <c r="E17" s="256" t="s">
        <v>176</v>
      </c>
      <c r="F17" s="349">
        <v>0</v>
      </c>
      <c r="G17" s="157"/>
      <c r="H17" s="585">
        <f t="shared" si="0"/>
        <v>0</v>
      </c>
      <c r="I17" s="353"/>
      <c r="J17" s="380"/>
      <c r="K17" s="353"/>
      <c r="L17" s="353"/>
      <c r="M17" s="353"/>
    </row>
    <row r="18" spans="1:13" x14ac:dyDescent="0.25">
      <c r="A18" s="357"/>
      <c r="B18" s="358"/>
      <c r="C18" s="148">
        <v>547</v>
      </c>
      <c r="D18" s="154"/>
      <c r="E18" s="261" t="s">
        <v>177</v>
      </c>
      <c r="F18" s="346">
        <v>0</v>
      </c>
      <c r="G18" s="359">
        <v>0</v>
      </c>
      <c r="H18" s="584">
        <f t="shared" si="0"/>
        <v>0</v>
      </c>
      <c r="I18" s="383">
        <v>0</v>
      </c>
      <c r="J18" s="381">
        <v>0</v>
      </c>
      <c r="K18" s="360"/>
      <c r="L18" s="383">
        <v>0</v>
      </c>
      <c r="M18" s="383">
        <v>0</v>
      </c>
    </row>
    <row r="19" spans="1:13" ht="15.75" thickBot="1" x14ac:dyDescent="0.3">
      <c r="A19" s="361"/>
      <c r="B19" s="362"/>
      <c r="C19" s="363"/>
      <c r="D19" s="364"/>
      <c r="E19" s="365" t="s">
        <v>178</v>
      </c>
      <c r="F19" s="366">
        <v>0</v>
      </c>
      <c r="G19" s="367">
        <v>0</v>
      </c>
      <c r="H19" s="586">
        <f t="shared" si="0"/>
        <v>0</v>
      </c>
      <c r="I19" s="384">
        <v>0</v>
      </c>
      <c r="J19" s="382"/>
      <c r="K19" s="368"/>
      <c r="L19" s="384">
        <v>0</v>
      </c>
      <c r="M19" s="384">
        <v>0</v>
      </c>
    </row>
    <row r="20" spans="1:13" ht="15.75" thickTop="1" x14ac:dyDescent="0.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</row>
  </sheetData>
  <mergeCells count="1">
    <mergeCell ref="A1:I1"/>
  </mergeCells>
  <printOptions horizontalCentered="1"/>
  <pageMargins left="0" right="0" top="0.74803149606299213" bottom="0.74803149606299213" header="0.31496062992125984" footer="0.31496062992125984"/>
  <pageSetup paperSize="9" scale="8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56"/>
  <sheetViews>
    <sheetView topLeftCell="A2" workbookViewId="0">
      <selection activeCell="G53" sqref="G53"/>
    </sheetView>
  </sheetViews>
  <sheetFormatPr defaultRowHeight="15" x14ac:dyDescent="0.25"/>
  <cols>
    <col min="1" max="1" width="4.140625" customWidth="1"/>
    <col min="2" max="2" width="4.5703125" customWidth="1"/>
    <col min="3" max="3" width="6.7109375" customWidth="1"/>
    <col min="4" max="4" width="5.140625" customWidth="1"/>
    <col min="5" max="5" width="45.5703125" customWidth="1"/>
    <col min="6" max="6" width="10.85546875" customWidth="1"/>
    <col min="7" max="7" width="10.7109375" customWidth="1"/>
    <col min="8" max="8" width="10.28515625" hidden="1" customWidth="1"/>
    <col min="9" max="9" width="0.140625" customWidth="1"/>
    <col min="10" max="10" width="12.5703125" customWidth="1"/>
  </cols>
  <sheetData>
    <row r="1" spans="1:10" ht="18.75" x14ac:dyDescent="0.25">
      <c r="A1" s="636"/>
      <c r="B1" s="636"/>
      <c r="C1" s="636"/>
      <c r="D1" s="636"/>
      <c r="E1" s="636"/>
      <c r="F1" s="636"/>
      <c r="G1" s="636"/>
      <c r="H1" s="636"/>
      <c r="I1" s="636"/>
      <c r="J1" s="1"/>
    </row>
    <row r="2" spans="1:10" ht="16.5" thickBot="1" x14ac:dyDescent="0.3">
      <c r="A2" s="637" t="s">
        <v>70</v>
      </c>
      <c r="B2" s="637"/>
      <c r="C2" s="637"/>
      <c r="D2" s="637"/>
      <c r="E2" s="637"/>
      <c r="F2" s="637"/>
      <c r="G2" s="637"/>
      <c r="H2" s="637"/>
      <c r="I2" s="637"/>
      <c r="J2" s="1"/>
    </row>
    <row r="3" spans="1:10" ht="44.25" customHeight="1" thickTop="1" thickBot="1" x14ac:dyDescent="0.3">
      <c r="A3" s="3" t="s">
        <v>15</v>
      </c>
      <c r="B3" s="4" t="s">
        <v>16</v>
      </c>
      <c r="C3" s="4" t="s">
        <v>17</v>
      </c>
      <c r="D3" s="5" t="s">
        <v>18</v>
      </c>
      <c r="E3" s="6" t="s">
        <v>19</v>
      </c>
      <c r="F3" s="7" t="s">
        <v>179</v>
      </c>
      <c r="G3" s="8" t="s">
        <v>180</v>
      </c>
      <c r="H3" s="8" t="s">
        <v>2</v>
      </c>
      <c r="I3" s="8" t="s">
        <v>20</v>
      </c>
      <c r="J3" s="9" t="s">
        <v>21</v>
      </c>
    </row>
    <row r="4" spans="1:10" ht="15.75" thickTop="1" x14ac:dyDescent="0.25">
      <c r="A4" s="10">
        <v>6</v>
      </c>
      <c r="B4" s="11"/>
      <c r="C4" s="11"/>
      <c r="D4" s="12"/>
      <c r="E4" s="13" t="s">
        <v>4</v>
      </c>
      <c r="F4" s="14">
        <v>2951800</v>
      </c>
      <c r="G4" s="15"/>
      <c r="H4" s="15">
        <v>57250000</v>
      </c>
      <c r="I4" s="15">
        <v>59250000</v>
      </c>
      <c r="J4" s="16">
        <f>AVERAGE(G4/F4)*100</f>
        <v>0</v>
      </c>
    </row>
    <row r="5" spans="1:10" ht="26.25" x14ac:dyDescent="0.25">
      <c r="A5" s="17"/>
      <c r="B5" s="18">
        <v>63</v>
      </c>
      <c r="C5" s="19"/>
      <c r="D5" s="20"/>
      <c r="E5" s="21" t="s">
        <v>22</v>
      </c>
      <c r="F5" s="22">
        <v>150000</v>
      </c>
      <c r="G5" s="22"/>
      <c r="H5" s="23">
        <v>500000</v>
      </c>
      <c r="I5" s="23">
        <v>600000</v>
      </c>
      <c r="J5" s="16">
        <f t="shared" ref="J5:J54" si="0">AVERAGE(G5/F5)*100</f>
        <v>0</v>
      </c>
    </row>
    <row r="6" spans="1:10" x14ac:dyDescent="0.25">
      <c r="A6" s="24"/>
      <c r="B6" s="25"/>
      <c r="C6" s="19">
        <v>632</v>
      </c>
      <c r="D6" s="20"/>
      <c r="E6" s="26" t="s">
        <v>23</v>
      </c>
      <c r="F6" s="27"/>
      <c r="G6" s="28"/>
      <c r="H6" s="28"/>
      <c r="I6" s="28"/>
      <c r="J6" s="29" t="e">
        <f t="shared" si="0"/>
        <v>#DIV/0!</v>
      </c>
    </row>
    <row r="7" spans="1:10" x14ac:dyDescent="0.25">
      <c r="A7" s="30"/>
      <c r="B7" s="31"/>
      <c r="C7" s="26">
        <v>633</v>
      </c>
      <c r="D7" s="32"/>
      <c r="E7" s="33" t="s">
        <v>24</v>
      </c>
      <c r="F7" s="27">
        <v>150000</v>
      </c>
      <c r="G7" s="28"/>
      <c r="H7" s="34">
        <v>500000</v>
      </c>
      <c r="I7" s="34">
        <v>600000</v>
      </c>
      <c r="J7" s="29">
        <f t="shared" si="0"/>
        <v>0</v>
      </c>
    </row>
    <row r="8" spans="1:10" x14ac:dyDescent="0.25">
      <c r="A8" s="30"/>
      <c r="B8" s="35"/>
      <c r="C8" s="26"/>
      <c r="D8" s="32">
        <v>6322</v>
      </c>
      <c r="E8" s="36" t="s">
        <v>25</v>
      </c>
      <c r="F8" s="37"/>
      <c r="G8" s="28"/>
      <c r="H8" s="34"/>
      <c r="I8" s="34"/>
      <c r="J8" s="29" t="e">
        <f t="shared" si="0"/>
        <v>#DIV/0!</v>
      </c>
    </row>
    <row r="9" spans="1:10" x14ac:dyDescent="0.25">
      <c r="A9" s="38"/>
      <c r="B9" s="39"/>
      <c r="C9" s="26">
        <v>634</v>
      </c>
      <c r="D9" s="40"/>
      <c r="E9" s="33" t="s">
        <v>26</v>
      </c>
      <c r="F9" s="27"/>
      <c r="G9" s="28"/>
      <c r="H9" s="34">
        <v>0</v>
      </c>
      <c r="I9" s="34">
        <v>0</v>
      </c>
      <c r="J9" s="29" t="e">
        <f t="shared" si="0"/>
        <v>#DIV/0!</v>
      </c>
    </row>
    <row r="10" spans="1:10" x14ac:dyDescent="0.25">
      <c r="A10" s="38"/>
      <c r="B10" s="26"/>
      <c r="C10" s="26"/>
      <c r="D10" s="40">
        <v>6331</v>
      </c>
      <c r="E10" s="33" t="s">
        <v>27</v>
      </c>
      <c r="F10" s="27"/>
      <c r="G10" s="28"/>
      <c r="H10" s="28">
        <v>0</v>
      </c>
      <c r="I10" s="28">
        <v>0</v>
      </c>
      <c r="J10" s="16" t="e">
        <f t="shared" si="0"/>
        <v>#DIV/0!</v>
      </c>
    </row>
    <row r="11" spans="1:10" x14ac:dyDescent="0.25">
      <c r="A11" s="38"/>
      <c r="B11" s="26"/>
      <c r="C11" s="26"/>
      <c r="D11" s="40"/>
      <c r="E11" s="33" t="s">
        <v>28</v>
      </c>
      <c r="F11" s="27"/>
      <c r="G11" s="41"/>
      <c r="H11" s="28">
        <v>0</v>
      </c>
      <c r="I11" s="28">
        <v>0</v>
      </c>
      <c r="J11" s="16" t="e">
        <f t="shared" si="0"/>
        <v>#DIV/0!</v>
      </c>
    </row>
    <row r="12" spans="1:10" x14ac:dyDescent="0.25">
      <c r="A12" s="38"/>
      <c r="B12" s="26"/>
      <c r="C12" s="26"/>
      <c r="D12" s="40"/>
      <c r="E12" s="33" t="s">
        <v>29</v>
      </c>
      <c r="F12" s="27"/>
      <c r="G12" s="41"/>
      <c r="H12" s="41">
        <v>0</v>
      </c>
      <c r="I12" s="41">
        <v>0</v>
      </c>
      <c r="J12" s="16" t="e">
        <f t="shared" si="0"/>
        <v>#DIV/0!</v>
      </c>
    </row>
    <row r="13" spans="1:10" x14ac:dyDescent="0.25">
      <c r="A13" s="38"/>
      <c r="B13" s="26"/>
      <c r="C13" s="26"/>
      <c r="D13" s="40">
        <v>6332</v>
      </c>
      <c r="E13" s="36" t="s">
        <v>30</v>
      </c>
      <c r="F13" s="37"/>
      <c r="G13" s="41"/>
      <c r="H13" s="28">
        <v>0</v>
      </c>
      <c r="I13" s="28">
        <v>0</v>
      </c>
      <c r="J13" s="16" t="e">
        <f t="shared" si="0"/>
        <v>#DIV/0!</v>
      </c>
    </row>
    <row r="14" spans="1:10" x14ac:dyDescent="0.25">
      <c r="A14" s="38"/>
      <c r="B14" s="26"/>
      <c r="C14" s="26"/>
      <c r="D14" s="40"/>
      <c r="E14" s="33" t="s">
        <v>28</v>
      </c>
      <c r="F14" s="27"/>
      <c r="G14" s="41"/>
      <c r="H14" s="41"/>
      <c r="I14" s="41"/>
      <c r="J14" s="16" t="e">
        <f t="shared" si="0"/>
        <v>#DIV/0!</v>
      </c>
    </row>
    <row r="15" spans="1:10" x14ac:dyDescent="0.25">
      <c r="A15" s="38"/>
      <c r="B15" s="26"/>
      <c r="C15" s="26"/>
      <c r="D15" s="40"/>
      <c r="E15" s="33" t="s">
        <v>29</v>
      </c>
      <c r="F15" s="27"/>
      <c r="G15" s="41"/>
      <c r="H15" s="41"/>
      <c r="I15" s="41"/>
      <c r="J15" s="16" t="e">
        <f t="shared" si="0"/>
        <v>#DIV/0!</v>
      </c>
    </row>
    <row r="16" spans="1:10" x14ac:dyDescent="0.25">
      <c r="A16" s="24"/>
      <c r="B16" s="42">
        <v>64</v>
      </c>
      <c r="C16" s="19"/>
      <c r="D16" s="20"/>
      <c r="E16" s="43" t="s">
        <v>31</v>
      </c>
      <c r="F16" s="44">
        <v>25000</v>
      </c>
      <c r="G16" s="45"/>
      <c r="H16" s="45">
        <v>1270000</v>
      </c>
      <c r="I16" s="45">
        <v>1320000</v>
      </c>
      <c r="J16" s="16">
        <f t="shared" si="0"/>
        <v>0</v>
      </c>
    </row>
    <row r="17" spans="1:10" x14ac:dyDescent="0.25">
      <c r="A17" s="30"/>
      <c r="B17" s="31"/>
      <c r="C17" s="46">
        <v>641</v>
      </c>
      <c r="D17" s="32"/>
      <c r="E17" s="33" t="s">
        <v>32</v>
      </c>
      <c r="F17" s="27">
        <v>25000</v>
      </c>
      <c r="G17" s="28"/>
      <c r="H17" s="34">
        <v>1150000</v>
      </c>
      <c r="I17" s="34">
        <v>1200000</v>
      </c>
      <c r="J17" s="16">
        <f t="shared" si="0"/>
        <v>0</v>
      </c>
    </row>
    <row r="18" spans="1:10" hidden="1" x14ac:dyDescent="0.25">
      <c r="A18" s="30"/>
      <c r="B18" s="35"/>
      <c r="C18" s="46"/>
      <c r="D18" s="32">
        <v>6413</v>
      </c>
      <c r="E18" s="26" t="s">
        <v>33</v>
      </c>
      <c r="F18" s="27"/>
      <c r="G18" s="28"/>
      <c r="H18" s="34"/>
      <c r="I18" s="34"/>
      <c r="J18" s="16" t="e">
        <f t="shared" si="0"/>
        <v>#DIV/0!</v>
      </c>
    </row>
    <row r="19" spans="1:10" hidden="1" x14ac:dyDescent="0.25">
      <c r="A19" s="30"/>
      <c r="B19" s="35"/>
      <c r="C19" s="46"/>
      <c r="D19" s="32">
        <v>6414</v>
      </c>
      <c r="E19" s="26" t="s">
        <v>34</v>
      </c>
      <c r="F19" s="27"/>
      <c r="G19" s="28"/>
      <c r="H19" s="34"/>
      <c r="I19" s="34"/>
      <c r="J19" s="16" t="e">
        <f t="shared" si="0"/>
        <v>#DIV/0!</v>
      </c>
    </row>
    <row r="20" spans="1:10" hidden="1" x14ac:dyDescent="0.25">
      <c r="A20" s="30"/>
      <c r="B20" s="35"/>
      <c r="C20" s="46"/>
      <c r="D20" s="32">
        <v>6416</v>
      </c>
      <c r="E20" s="26" t="s">
        <v>35</v>
      </c>
      <c r="F20" s="27"/>
      <c r="G20" s="28">
        <v>0</v>
      </c>
      <c r="H20" s="34">
        <v>0</v>
      </c>
      <c r="I20" s="34">
        <v>0</v>
      </c>
      <c r="J20" s="16" t="e">
        <f t="shared" si="0"/>
        <v>#DIV/0!</v>
      </c>
    </row>
    <row r="21" spans="1:10" hidden="1" x14ac:dyDescent="0.25">
      <c r="A21" s="30"/>
      <c r="B21" s="35"/>
      <c r="C21" s="46"/>
      <c r="D21" s="32">
        <v>6419</v>
      </c>
      <c r="E21" s="33" t="s">
        <v>36</v>
      </c>
      <c r="F21" s="27"/>
      <c r="G21" s="28"/>
      <c r="H21" s="34"/>
      <c r="I21" s="34"/>
      <c r="J21" s="16" t="e">
        <f t="shared" si="0"/>
        <v>#DIV/0!</v>
      </c>
    </row>
    <row r="22" spans="1:10" x14ac:dyDescent="0.25">
      <c r="A22" s="30"/>
      <c r="B22" s="47"/>
      <c r="C22" s="46">
        <v>642</v>
      </c>
      <c r="D22" s="32"/>
      <c r="E22" s="33" t="s">
        <v>37</v>
      </c>
      <c r="F22" s="27"/>
      <c r="G22" s="28"/>
      <c r="H22" s="34">
        <v>120000</v>
      </c>
      <c r="I22" s="34">
        <v>120000</v>
      </c>
      <c r="J22" s="29" t="e">
        <f t="shared" si="0"/>
        <v>#DIV/0!</v>
      </c>
    </row>
    <row r="23" spans="1:10" hidden="1" x14ac:dyDescent="0.25">
      <c r="A23" s="30"/>
      <c r="B23" s="46"/>
      <c r="C23" s="46"/>
      <c r="D23" s="32">
        <v>6422</v>
      </c>
      <c r="E23" s="26" t="s">
        <v>38</v>
      </c>
      <c r="F23" s="27"/>
      <c r="G23" s="28"/>
      <c r="H23" s="34"/>
      <c r="I23" s="34"/>
      <c r="J23" s="16" t="e">
        <f t="shared" si="0"/>
        <v>#DIV/0!</v>
      </c>
    </row>
    <row r="24" spans="1:10" hidden="1" x14ac:dyDescent="0.25">
      <c r="A24" s="30"/>
      <c r="B24" s="46"/>
      <c r="C24" s="46"/>
      <c r="D24" s="32">
        <v>6429</v>
      </c>
      <c r="E24" s="33" t="s">
        <v>39</v>
      </c>
      <c r="F24" s="27"/>
      <c r="G24" s="28"/>
      <c r="H24" s="34"/>
      <c r="I24" s="34"/>
      <c r="J24" s="16" t="e">
        <f t="shared" si="0"/>
        <v>#DIV/0!</v>
      </c>
    </row>
    <row r="25" spans="1:10" ht="26.25" hidden="1" x14ac:dyDescent="0.25">
      <c r="A25" s="30"/>
      <c r="B25" s="46"/>
      <c r="C25" s="42"/>
      <c r="D25" s="48">
        <v>6436</v>
      </c>
      <c r="E25" s="33" t="s">
        <v>40</v>
      </c>
      <c r="F25" s="27"/>
      <c r="G25" s="28"/>
      <c r="H25" s="28"/>
      <c r="I25" s="28"/>
      <c r="J25" s="16" t="e">
        <f t="shared" si="0"/>
        <v>#DIV/0!</v>
      </c>
    </row>
    <row r="26" spans="1:10" ht="26.25" x14ac:dyDescent="0.25">
      <c r="A26" s="24"/>
      <c r="B26" s="49">
        <v>65</v>
      </c>
      <c r="C26" s="19"/>
      <c r="D26" s="20"/>
      <c r="E26" s="43" t="s">
        <v>41</v>
      </c>
      <c r="F26" s="44">
        <v>11000</v>
      </c>
      <c r="G26" s="45"/>
      <c r="H26" s="45">
        <v>300000</v>
      </c>
      <c r="I26" s="45">
        <v>300000</v>
      </c>
      <c r="J26" s="16">
        <f t="shared" si="0"/>
        <v>0</v>
      </c>
    </row>
    <row r="27" spans="1:10" x14ac:dyDescent="0.25">
      <c r="A27" s="30"/>
      <c r="B27" s="31"/>
      <c r="C27" s="46">
        <v>651</v>
      </c>
      <c r="D27" s="32"/>
      <c r="E27" s="33" t="s">
        <v>42</v>
      </c>
      <c r="F27" s="27"/>
      <c r="G27" s="28"/>
      <c r="H27" s="34">
        <v>0</v>
      </c>
      <c r="I27" s="34">
        <v>0</v>
      </c>
      <c r="J27" s="29" t="e">
        <f t="shared" si="0"/>
        <v>#DIV/0!</v>
      </c>
    </row>
    <row r="28" spans="1:10" x14ac:dyDescent="0.25">
      <c r="A28" s="30"/>
      <c r="B28" s="35"/>
      <c r="C28" s="46"/>
      <c r="D28" s="32">
        <v>6522</v>
      </c>
      <c r="E28" s="33" t="s">
        <v>43</v>
      </c>
      <c r="F28" s="27"/>
      <c r="G28" s="28"/>
      <c r="H28" s="28">
        <v>0</v>
      </c>
      <c r="I28" s="28">
        <v>0</v>
      </c>
      <c r="J28" s="16" t="e">
        <f t="shared" si="0"/>
        <v>#DIV/0!</v>
      </c>
    </row>
    <row r="29" spans="1:10" hidden="1" x14ac:dyDescent="0.25">
      <c r="A29" s="30"/>
      <c r="B29" s="35"/>
      <c r="C29" s="46"/>
      <c r="D29" s="32"/>
      <c r="E29" s="26" t="s">
        <v>44</v>
      </c>
      <c r="F29" s="27"/>
      <c r="G29" s="41"/>
      <c r="H29" s="41"/>
      <c r="I29" s="41"/>
      <c r="J29" s="16" t="e">
        <f t="shared" si="0"/>
        <v>#DIV/0!</v>
      </c>
    </row>
    <row r="30" spans="1:10" hidden="1" x14ac:dyDescent="0.25">
      <c r="A30" s="30"/>
      <c r="B30" s="35"/>
      <c r="C30" s="46"/>
      <c r="D30" s="32"/>
      <c r="E30" s="26" t="s">
        <v>45</v>
      </c>
      <c r="F30" s="27"/>
      <c r="G30" s="41"/>
      <c r="H30" s="41"/>
      <c r="I30" s="41"/>
      <c r="J30" s="16" t="e">
        <f t="shared" si="0"/>
        <v>#DIV/0!</v>
      </c>
    </row>
    <row r="31" spans="1:10" hidden="1" x14ac:dyDescent="0.25">
      <c r="A31" s="30"/>
      <c r="B31" s="35"/>
      <c r="C31" s="46"/>
      <c r="D31" s="32"/>
      <c r="E31" s="26" t="s">
        <v>46</v>
      </c>
      <c r="F31" s="27"/>
      <c r="G31" s="41"/>
      <c r="H31" s="41"/>
      <c r="I31" s="41"/>
      <c r="J31" s="16" t="e">
        <f t="shared" si="0"/>
        <v>#DIV/0!</v>
      </c>
    </row>
    <row r="32" spans="1:10" hidden="1" x14ac:dyDescent="0.25">
      <c r="A32" s="30"/>
      <c r="B32" s="35"/>
      <c r="C32" s="46"/>
      <c r="D32" s="32"/>
      <c r="E32" s="26" t="s">
        <v>47</v>
      </c>
      <c r="F32" s="27"/>
      <c r="G32" s="41"/>
      <c r="H32" s="41"/>
      <c r="I32" s="41"/>
      <c r="J32" s="16" t="e">
        <f t="shared" si="0"/>
        <v>#DIV/0!</v>
      </c>
    </row>
    <row r="33" spans="1:10" x14ac:dyDescent="0.25">
      <c r="A33" s="30"/>
      <c r="B33" s="35"/>
      <c r="C33" s="46"/>
      <c r="D33" s="32">
        <v>6526</v>
      </c>
      <c r="E33" s="26" t="s">
        <v>48</v>
      </c>
      <c r="F33" s="27"/>
      <c r="G33" s="41"/>
      <c r="H33" s="41"/>
      <c r="I33" s="41"/>
      <c r="J33" s="16" t="e">
        <f t="shared" si="0"/>
        <v>#DIV/0!</v>
      </c>
    </row>
    <row r="34" spans="1:10" ht="26.25" x14ac:dyDescent="0.25">
      <c r="A34" s="30"/>
      <c r="B34" s="47"/>
      <c r="C34" s="46">
        <v>652</v>
      </c>
      <c r="D34" s="32"/>
      <c r="E34" s="26" t="s">
        <v>49</v>
      </c>
      <c r="F34" s="27">
        <v>11000</v>
      </c>
      <c r="G34" s="41"/>
      <c r="H34" s="50">
        <v>300000</v>
      </c>
      <c r="I34" s="50">
        <v>300000</v>
      </c>
      <c r="J34" s="29">
        <f t="shared" si="0"/>
        <v>0</v>
      </c>
    </row>
    <row r="35" spans="1:10" ht="26.25" x14ac:dyDescent="0.25">
      <c r="A35" s="24"/>
      <c r="B35" s="51">
        <v>66</v>
      </c>
      <c r="C35" s="19"/>
      <c r="D35" s="20"/>
      <c r="E35" s="52" t="s">
        <v>50</v>
      </c>
      <c r="F35" s="44">
        <v>2210800</v>
      </c>
      <c r="G35" s="45"/>
      <c r="H35" s="45">
        <v>48680000</v>
      </c>
      <c r="I35" s="45">
        <v>50430000</v>
      </c>
      <c r="J35" s="16">
        <f t="shared" si="0"/>
        <v>0</v>
      </c>
    </row>
    <row r="36" spans="1:10" x14ac:dyDescent="0.25">
      <c r="A36" s="24"/>
      <c r="B36" s="53"/>
      <c r="C36" s="19">
        <v>6614</v>
      </c>
      <c r="D36" s="20"/>
      <c r="E36" s="54" t="s">
        <v>51</v>
      </c>
      <c r="F36" s="55">
        <v>81900</v>
      </c>
      <c r="G36" s="28"/>
      <c r="H36" s="50">
        <v>1600000</v>
      </c>
      <c r="I36" s="50">
        <v>1650000</v>
      </c>
      <c r="J36" s="29">
        <f t="shared" si="0"/>
        <v>0</v>
      </c>
    </row>
    <row r="37" spans="1:10" x14ac:dyDescent="0.25">
      <c r="A37" s="24"/>
      <c r="B37" s="56"/>
      <c r="C37" s="19">
        <v>6615</v>
      </c>
      <c r="D37" s="20"/>
      <c r="E37" s="54" t="s">
        <v>52</v>
      </c>
      <c r="F37" s="28">
        <v>2128900</v>
      </c>
      <c r="G37" s="28"/>
      <c r="H37" s="50">
        <v>46430000</v>
      </c>
      <c r="I37" s="50">
        <v>48130000</v>
      </c>
      <c r="J37" s="29">
        <f t="shared" si="0"/>
        <v>0</v>
      </c>
    </row>
    <row r="38" spans="1:10" x14ac:dyDescent="0.25">
      <c r="A38" s="24"/>
      <c r="B38" s="56"/>
      <c r="C38" s="19"/>
      <c r="D38" s="20"/>
      <c r="E38" s="54" t="s">
        <v>53</v>
      </c>
      <c r="F38" s="55">
        <v>442290</v>
      </c>
      <c r="G38" s="28"/>
      <c r="H38" s="50"/>
      <c r="I38" s="50"/>
      <c r="J38" s="29">
        <f t="shared" si="0"/>
        <v>0</v>
      </c>
    </row>
    <row r="39" spans="1:10" x14ac:dyDescent="0.25">
      <c r="A39" s="24"/>
      <c r="B39" s="56"/>
      <c r="C39" s="19"/>
      <c r="D39" s="20"/>
      <c r="E39" s="54" t="s">
        <v>54</v>
      </c>
      <c r="F39" s="55">
        <v>281770</v>
      </c>
      <c r="G39" s="28"/>
      <c r="H39" s="50"/>
      <c r="I39" s="50"/>
      <c r="J39" s="29">
        <f t="shared" si="0"/>
        <v>0</v>
      </c>
    </row>
    <row r="40" spans="1:10" x14ac:dyDescent="0.25">
      <c r="A40" s="24"/>
      <c r="B40" s="56"/>
      <c r="C40" s="19"/>
      <c r="D40" s="20"/>
      <c r="E40" s="54" t="s">
        <v>55</v>
      </c>
      <c r="F40" s="55">
        <v>1166340</v>
      </c>
      <c r="G40" s="28"/>
      <c r="H40" s="50"/>
      <c r="I40" s="50"/>
      <c r="J40" s="29">
        <f t="shared" si="0"/>
        <v>0</v>
      </c>
    </row>
    <row r="41" spans="1:10" x14ac:dyDescent="0.25">
      <c r="A41" s="24"/>
      <c r="B41" s="56"/>
      <c r="C41" s="19"/>
      <c r="D41" s="20"/>
      <c r="E41" s="54" t="s">
        <v>56</v>
      </c>
      <c r="F41" s="55">
        <v>65500</v>
      </c>
      <c r="G41" s="28"/>
      <c r="H41" s="50"/>
      <c r="I41" s="50"/>
      <c r="J41" s="29">
        <f t="shared" si="0"/>
        <v>0</v>
      </c>
    </row>
    <row r="42" spans="1:10" x14ac:dyDescent="0.25">
      <c r="A42" s="24"/>
      <c r="B42" s="56"/>
      <c r="C42" s="19"/>
      <c r="D42" s="20"/>
      <c r="E42" s="54" t="s">
        <v>57</v>
      </c>
      <c r="F42" s="55">
        <v>35000</v>
      </c>
      <c r="G42" s="28"/>
      <c r="H42" s="50"/>
      <c r="I42" s="50"/>
      <c r="J42" s="29">
        <f t="shared" si="0"/>
        <v>0</v>
      </c>
    </row>
    <row r="43" spans="1:10" x14ac:dyDescent="0.25">
      <c r="A43" s="24"/>
      <c r="B43" s="56"/>
      <c r="C43" s="19"/>
      <c r="D43" s="20"/>
      <c r="E43" s="54" t="s">
        <v>58</v>
      </c>
      <c r="F43" s="55">
        <v>138000</v>
      </c>
      <c r="G43" s="28"/>
      <c r="H43" s="50"/>
      <c r="I43" s="50"/>
      <c r="J43" s="29">
        <f t="shared" si="0"/>
        <v>0</v>
      </c>
    </row>
    <row r="44" spans="1:10" x14ac:dyDescent="0.25">
      <c r="A44" s="30"/>
      <c r="B44" s="47"/>
      <c r="C44" s="46">
        <v>663</v>
      </c>
      <c r="D44" s="32"/>
      <c r="E44" s="26" t="s">
        <v>59</v>
      </c>
      <c r="F44" s="27"/>
      <c r="G44" s="28"/>
      <c r="H44" s="34">
        <v>650000</v>
      </c>
      <c r="I44" s="34">
        <v>650000</v>
      </c>
      <c r="J44" s="29" t="e">
        <f t="shared" si="0"/>
        <v>#DIV/0!</v>
      </c>
    </row>
    <row r="45" spans="1:10" x14ac:dyDescent="0.25">
      <c r="A45" s="30"/>
      <c r="B45" s="46"/>
      <c r="C45" s="46"/>
      <c r="D45" s="32">
        <v>6632</v>
      </c>
      <c r="E45" s="26" t="s">
        <v>60</v>
      </c>
      <c r="F45" s="27"/>
      <c r="G45" s="28"/>
      <c r="H45" s="28"/>
      <c r="I45" s="28"/>
      <c r="J45" s="29" t="e">
        <f t="shared" si="0"/>
        <v>#DIV/0!</v>
      </c>
    </row>
    <row r="46" spans="1:10" x14ac:dyDescent="0.25">
      <c r="A46" s="30"/>
      <c r="B46" s="42">
        <v>67</v>
      </c>
      <c r="C46" s="46"/>
      <c r="D46" s="32"/>
      <c r="E46" s="57" t="s">
        <v>61</v>
      </c>
      <c r="F46" s="44">
        <v>555000</v>
      </c>
      <c r="G46" s="45"/>
      <c r="H46" s="45">
        <v>6500000</v>
      </c>
      <c r="I46" s="45">
        <v>6600000</v>
      </c>
      <c r="J46" s="16">
        <f t="shared" si="0"/>
        <v>0</v>
      </c>
    </row>
    <row r="47" spans="1:10" x14ac:dyDescent="0.25">
      <c r="A47" s="30"/>
      <c r="B47" s="46"/>
      <c r="C47" s="46">
        <v>671</v>
      </c>
      <c r="D47" s="32"/>
      <c r="E47" s="26" t="s">
        <v>62</v>
      </c>
      <c r="F47" s="27">
        <v>555000</v>
      </c>
      <c r="G47" s="28"/>
      <c r="H47" s="50">
        <v>6500000</v>
      </c>
      <c r="I47" s="50">
        <v>6600000</v>
      </c>
      <c r="J47" s="29">
        <f t="shared" si="0"/>
        <v>0</v>
      </c>
    </row>
    <row r="48" spans="1:10" x14ac:dyDescent="0.25">
      <c r="A48" s="30"/>
      <c r="B48" s="42">
        <v>68</v>
      </c>
      <c r="C48" s="46"/>
      <c r="D48" s="32"/>
      <c r="E48" s="57" t="s">
        <v>63</v>
      </c>
      <c r="F48" s="44"/>
      <c r="G48" s="44"/>
      <c r="H48" s="28"/>
      <c r="I48" s="28"/>
      <c r="J48" s="16" t="e">
        <f t="shared" si="0"/>
        <v>#DIV/0!</v>
      </c>
    </row>
    <row r="49" spans="1:10" x14ac:dyDescent="0.25">
      <c r="A49" s="30"/>
      <c r="B49" s="31"/>
      <c r="C49" s="46">
        <v>681</v>
      </c>
      <c r="D49" s="32"/>
      <c r="E49" s="26" t="s">
        <v>64</v>
      </c>
      <c r="F49" s="27"/>
      <c r="G49" s="28"/>
      <c r="H49" s="28"/>
      <c r="I49" s="28"/>
      <c r="J49" s="29" t="e">
        <f t="shared" si="0"/>
        <v>#DIV/0!</v>
      </c>
    </row>
    <row r="50" spans="1:10" x14ac:dyDescent="0.25">
      <c r="A50" s="58"/>
      <c r="B50" s="47"/>
      <c r="C50" s="46">
        <v>683</v>
      </c>
      <c r="D50" s="32"/>
      <c r="E50" s="26" t="s">
        <v>65</v>
      </c>
      <c r="F50" s="27"/>
      <c r="G50" s="28"/>
      <c r="H50" s="28"/>
      <c r="I50" s="28"/>
      <c r="J50" s="29" t="e">
        <f t="shared" si="0"/>
        <v>#DIV/0!</v>
      </c>
    </row>
    <row r="51" spans="1:10" x14ac:dyDescent="0.25">
      <c r="A51" s="59">
        <v>7</v>
      </c>
      <c r="B51" s="60"/>
      <c r="C51" s="42"/>
      <c r="D51" s="61"/>
      <c r="E51" s="57" t="s">
        <v>66</v>
      </c>
      <c r="F51" s="44">
        <v>30000</v>
      </c>
      <c r="G51" s="45"/>
      <c r="H51" s="45">
        <v>0</v>
      </c>
      <c r="I51" s="45">
        <v>0</v>
      </c>
      <c r="J51" s="16">
        <f t="shared" si="0"/>
        <v>0</v>
      </c>
    </row>
    <row r="52" spans="1:10" x14ac:dyDescent="0.25">
      <c r="A52" s="62"/>
      <c r="B52" s="60">
        <v>72</v>
      </c>
      <c r="C52" s="42"/>
      <c r="D52" s="61"/>
      <c r="E52" s="57" t="s">
        <v>67</v>
      </c>
      <c r="F52" s="44">
        <v>30000</v>
      </c>
      <c r="G52" s="44"/>
      <c r="H52" s="45">
        <v>0</v>
      </c>
      <c r="I52" s="45">
        <v>0</v>
      </c>
      <c r="J52" s="16">
        <f t="shared" si="0"/>
        <v>0</v>
      </c>
    </row>
    <row r="53" spans="1:10" x14ac:dyDescent="0.25">
      <c r="A53" s="63"/>
      <c r="B53" s="64"/>
      <c r="C53" s="31">
        <v>723</v>
      </c>
      <c r="D53" s="65"/>
      <c r="E53" s="66" t="s">
        <v>68</v>
      </c>
      <c r="F53" s="67"/>
      <c r="G53" s="68"/>
      <c r="H53" s="69"/>
      <c r="I53" s="69"/>
      <c r="J53" s="29" t="e">
        <f t="shared" si="0"/>
        <v>#DIV/0!</v>
      </c>
    </row>
    <row r="54" spans="1:10" ht="15.75" thickBot="1" x14ac:dyDescent="0.3">
      <c r="A54" s="70"/>
      <c r="B54" s="71"/>
      <c r="C54" s="72">
        <v>725</v>
      </c>
      <c r="D54" s="73"/>
      <c r="E54" s="74" t="s">
        <v>69</v>
      </c>
      <c r="F54" s="75">
        <v>30000</v>
      </c>
      <c r="G54" s="76"/>
      <c r="H54" s="77">
        <v>0</v>
      </c>
      <c r="I54" s="77">
        <v>0</v>
      </c>
      <c r="J54" s="78">
        <f t="shared" si="0"/>
        <v>0</v>
      </c>
    </row>
    <row r="55" spans="1:10" ht="15.75" thickTop="1" x14ac:dyDescent="0.25">
      <c r="A55" s="79"/>
      <c r="B55" s="79"/>
      <c r="C55" s="80"/>
      <c r="D55" s="81"/>
      <c r="E55" s="82"/>
      <c r="F55" s="82"/>
      <c r="G55" s="83"/>
      <c r="H55" s="83"/>
      <c r="I55" s="83"/>
      <c r="J55" s="84"/>
    </row>
    <row r="56" spans="1:10" x14ac:dyDescent="0.25">
      <c r="A56" s="85"/>
      <c r="B56" s="85"/>
      <c r="C56" s="85"/>
      <c r="D56" s="86"/>
      <c r="E56" s="82"/>
      <c r="F56" s="82"/>
      <c r="G56" s="87"/>
      <c r="H56" s="87"/>
      <c r="I56" s="1"/>
      <c r="J56" s="1"/>
    </row>
    <row r="57" spans="1:10" x14ac:dyDescent="0.25">
      <c r="A57" s="85"/>
      <c r="B57" s="85"/>
      <c r="C57" s="85"/>
      <c r="D57" s="86"/>
      <c r="E57" s="82"/>
      <c r="F57" s="82"/>
      <c r="G57" s="88"/>
      <c r="H57" s="84"/>
      <c r="I57" s="1"/>
      <c r="J57" s="1"/>
    </row>
    <row r="58" spans="1:10" x14ac:dyDescent="0.25">
      <c r="A58" s="85"/>
      <c r="B58" s="85"/>
      <c r="C58" s="85"/>
      <c r="D58" s="86"/>
      <c r="E58" s="82"/>
      <c r="F58" s="82"/>
      <c r="G58" s="1"/>
      <c r="H58" s="1"/>
      <c r="I58" s="1"/>
      <c r="J58" s="1"/>
    </row>
    <row r="59" spans="1:10" x14ac:dyDescent="0.25">
      <c r="A59" s="85"/>
      <c r="B59" s="85"/>
      <c r="C59" s="85"/>
      <c r="D59" s="86"/>
      <c r="E59" s="82"/>
      <c r="F59" s="82"/>
      <c r="G59" s="1"/>
      <c r="H59" s="1"/>
      <c r="I59" s="1"/>
      <c r="J59" s="1"/>
    </row>
    <row r="60" spans="1:10" x14ac:dyDescent="0.25">
      <c r="A60" s="85"/>
      <c r="B60" s="85"/>
      <c r="C60" s="85"/>
      <c r="D60" s="86"/>
      <c r="E60" s="82"/>
      <c r="F60" s="82"/>
      <c r="G60" s="1"/>
      <c r="H60" s="1"/>
      <c r="I60" s="1"/>
      <c r="J60" s="1"/>
    </row>
    <row r="61" spans="1:10" x14ac:dyDescent="0.25">
      <c r="A61" s="85"/>
      <c r="B61" s="85"/>
      <c r="C61" s="85"/>
      <c r="D61" s="86"/>
      <c r="E61" s="82"/>
      <c r="F61" s="82"/>
      <c r="G61" s="1"/>
      <c r="H61" s="1"/>
      <c r="I61" s="1"/>
      <c r="J61" s="1"/>
    </row>
    <row r="62" spans="1:10" x14ac:dyDescent="0.25">
      <c r="A62" s="85"/>
      <c r="B62" s="85"/>
      <c r="C62" s="85"/>
      <c r="D62" s="86"/>
      <c r="E62" s="82"/>
      <c r="F62" s="82"/>
      <c r="G62" s="1"/>
      <c r="H62" s="1"/>
      <c r="I62" s="1"/>
      <c r="J62" s="1"/>
    </row>
    <row r="63" spans="1:10" x14ac:dyDescent="0.25">
      <c r="A63" s="85"/>
      <c r="B63" s="85"/>
      <c r="C63" s="85"/>
      <c r="D63" s="86"/>
      <c r="E63" s="82"/>
      <c r="F63" s="82"/>
      <c r="G63" s="1"/>
      <c r="H63" s="1"/>
      <c r="I63" s="1"/>
      <c r="J63" s="1"/>
    </row>
    <row r="64" spans="1:10" x14ac:dyDescent="0.25">
      <c r="A64" s="85"/>
      <c r="B64" s="85"/>
      <c r="C64" s="85"/>
      <c r="D64" s="86"/>
      <c r="E64" s="82"/>
      <c r="F64" s="82"/>
      <c r="G64" s="1"/>
      <c r="H64" s="1"/>
      <c r="I64" s="1"/>
      <c r="J64" s="1"/>
    </row>
    <row r="65" spans="1:6" x14ac:dyDescent="0.25">
      <c r="A65" s="85"/>
      <c r="B65" s="85"/>
      <c r="C65" s="85"/>
      <c r="D65" s="86"/>
      <c r="E65" s="89"/>
      <c r="F65" s="89"/>
    </row>
    <row r="66" spans="1:6" x14ac:dyDescent="0.25">
      <c r="A66" s="85"/>
      <c r="B66" s="85"/>
      <c r="C66" s="85"/>
      <c r="D66" s="86"/>
      <c r="E66" s="89"/>
      <c r="F66" s="89"/>
    </row>
    <row r="67" spans="1:6" x14ac:dyDescent="0.25">
      <c r="A67" s="85"/>
      <c r="B67" s="85"/>
      <c r="C67" s="85"/>
      <c r="D67" s="86"/>
      <c r="E67" s="89"/>
      <c r="F67" s="89"/>
    </row>
    <row r="68" spans="1:6" x14ac:dyDescent="0.25">
      <c r="A68" s="85"/>
      <c r="B68" s="85"/>
      <c r="C68" s="85"/>
      <c r="D68" s="86"/>
      <c r="E68" s="89"/>
      <c r="F68" s="89"/>
    </row>
    <row r="69" spans="1:6" x14ac:dyDescent="0.25">
      <c r="A69" s="85"/>
      <c r="B69" s="85"/>
      <c r="C69" s="85"/>
      <c r="D69" s="86"/>
      <c r="E69" s="89"/>
      <c r="F69" s="89"/>
    </row>
    <row r="70" spans="1:6" x14ac:dyDescent="0.25">
      <c r="A70" s="85"/>
      <c r="B70" s="85"/>
      <c r="C70" s="85"/>
      <c r="D70" s="86"/>
      <c r="E70" s="89"/>
      <c r="F70" s="89"/>
    </row>
    <row r="71" spans="1:6" x14ac:dyDescent="0.25">
      <c r="A71" s="85"/>
      <c r="B71" s="85"/>
      <c r="C71" s="85"/>
      <c r="D71" s="86"/>
      <c r="E71" s="89"/>
      <c r="F71" s="89"/>
    </row>
    <row r="72" spans="1:6" x14ac:dyDescent="0.25">
      <c r="A72" s="85"/>
      <c r="B72" s="85"/>
      <c r="C72" s="85"/>
      <c r="D72" s="86"/>
      <c r="E72" s="89"/>
      <c r="F72" s="89"/>
    </row>
    <row r="73" spans="1:6" x14ac:dyDescent="0.25">
      <c r="A73" s="85"/>
      <c r="B73" s="85"/>
      <c r="C73" s="85"/>
      <c r="D73" s="86"/>
      <c r="E73" s="89"/>
      <c r="F73" s="89"/>
    </row>
    <row r="74" spans="1:6" x14ac:dyDescent="0.25">
      <c r="A74" s="85"/>
      <c r="B74" s="85"/>
      <c r="C74" s="85"/>
      <c r="D74" s="86"/>
      <c r="E74" s="89"/>
      <c r="F74" s="89"/>
    </row>
    <row r="75" spans="1:6" x14ac:dyDescent="0.25">
      <c r="A75" s="85"/>
      <c r="B75" s="85"/>
      <c r="C75" s="85"/>
      <c r="D75" s="86"/>
      <c r="E75" s="89"/>
      <c r="F75" s="89"/>
    </row>
    <row r="76" spans="1:6" x14ac:dyDescent="0.25">
      <c r="A76" s="85"/>
      <c r="B76" s="85"/>
      <c r="C76" s="85"/>
      <c r="D76" s="86"/>
      <c r="E76" s="89"/>
      <c r="F76" s="89"/>
    </row>
    <row r="77" spans="1:6" x14ac:dyDescent="0.25">
      <c r="A77" s="85"/>
      <c r="B77" s="85"/>
      <c r="C77" s="85"/>
      <c r="D77" s="86"/>
      <c r="E77" s="89"/>
      <c r="F77" s="89"/>
    </row>
    <row r="78" spans="1:6" x14ac:dyDescent="0.25">
      <c r="A78" s="85"/>
      <c r="B78" s="85"/>
      <c r="C78" s="85"/>
      <c r="D78" s="86"/>
      <c r="E78" s="89"/>
      <c r="F78" s="89"/>
    </row>
    <row r="79" spans="1:6" ht="15.75" x14ac:dyDescent="0.25">
      <c r="A79" s="90"/>
      <c r="B79" s="91"/>
      <c r="C79" s="91"/>
      <c r="D79" s="92"/>
      <c r="E79" s="89"/>
      <c r="F79" s="89"/>
    </row>
    <row r="80" spans="1:6" x14ac:dyDescent="0.25">
      <c r="A80" s="93"/>
      <c r="B80" s="94"/>
      <c r="C80" s="94"/>
      <c r="D80" s="95"/>
      <c r="E80" s="89"/>
      <c r="F80" s="89"/>
    </row>
    <row r="81" spans="1:6" x14ac:dyDescent="0.25">
      <c r="A81" s="93"/>
      <c r="B81" s="93"/>
      <c r="C81" s="94"/>
      <c r="D81" s="95"/>
      <c r="E81" s="89"/>
      <c r="F81" s="89"/>
    </row>
    <row r="82" spans="1:6" x14ac:dyDescent="0.25">
      <c r="A82" s="93"/>
      <c r="B82" s="94"/>
      <c r="C82" s="93"/>
      <c r="D82" s="95"/>
      <c r="E82" s="89"/>
      <c r="F82" s="89"/>
    </row>
    <row r="83" spans="1:6" x14ac:dyDescent="0.25">
      <c r="A83" s="93"/>
      <c r="B83" s="94"/>
      <c r="C83" s="93"/>
      <c r="D83" s="96"/>
      <c r="E83" s="89"/>
      <c r="F83" s="89"/>
    </row>
    <row r="84" spans="1:6" x14ac:dyDescent="0.25">
      <c r="A84" s="93"/>
      <c r="B84" s="94"/>
      <c r="C84" s="93"/>
      <c r="D84" s="96"/>
      <c r="E84" s="89"/>
      <c r="F84" s="89"/>
    </row>
    <row r="85" spans="1:6" x14ac:dyDescent="0.25">
      <c r="A85" s="93"/>
      <c r="B85" s="94"/>
      <c r="C85" s="93"/>
      <c r="D85" s="96"/>
      <c r="E85" s="89"/>
      <c r="F85" s="89"/>
    </row>
    <row r="86" spans="1:6" x14ac:dyDescent="0.25">
      <c r="A86" s="94"/>
      <c r="B86" s="93"/>
      <c r="C86" s="94"/>
      <c r="D86" s="97"/>
      <c r="E86" s="89"/>
      <c r="F86" s="89"/>
    </row>
    <row r="87" spans="1:6" x14ac:dyDescent="0.25">
      <c r="A87" s="94"/>
      <c r="B87" s="94"/>
      <c r="C87" s="94"/>
      <c r="D87" s="97"/>
      <c r="E87" s="89"/>
      <c r="F87" s="89"/>
    </row>
    <row r="88" spans="1:6" x14ac:dyDescent="0.25">
      <c r="A88" s="94"/>
      <c r="B88" s="94"/>
      <c r="C88" s="94"/>
      <c r="D88" s="96"/>
      <c r="E88" s="89"/>
      <c r="F88" s="89"/>
    </row>
    <row r="89" spans="1:6" x14ac:dyDescent="0.25">
      <c r="A89" s="94"/>
      <c r="B89" s="94"/>
      <c r="C89" s="94"/>
      <c r="D89" s="97"/>
      <c r="E89" s="89"/>
      <c r="F89" s="89"/>
    </row>
    <row r="90" spans="1:6" x14ac:dyDescent="0.25">
      <c r="A90" s="94"/>
      <c r="B90" s="94"/>
      <c r="C90" s="93"/>
      <c r="D90" s="97"/>
      <c r="E90" s="89"/>
      <c r="F90" s="89"/>
    </row>
    <row r="91" spans="1:6" x14ac:dyDescent="0.25">
      <c r="A91" s="94"/>
      <c r="B91" s="94"/>
      <c r="C91" s="93"/>
      <c r="D91" s="97"/>
      <c r="E91" s="89"/>
      <c r="F91" s="89"/>
    </row>
    <row r="92" spans="1:6" x14ac:dyDescent="0.25">
      <c r="A92" s="94"/>
      <c r="B92" s="94"/>
      <c r="C92" s="94"/>
      <c r="D92" s="97"/>
      <c r="E92" s="98"/>
      <c r="F92" s="98"/>
    </row>
    <row r="93" spans="1:6" x14ac:dyDescent="0.25">
      <c r="A93" s="94"/>
      <c r="B93" s="94"/>
      <c r="C93" s="94"/>
      <c r="D93" s="97"/>
      <c r="E93" s="98"/>
      <c r="F93" s="98"/>
    </row>
    <row r="94" spans="1:6" x14ac:dyDescent="0.25">
      <c r="A94" s="94"/>
      <c r="B94" s="94"/>
      <c r="C94" s="94"/>
      <c r="D94" s="97"/>
      <c r="E94" s="99"/>
      <c r="F94" s="99"/>
    </row>
    <row r="95" spans="1:6" x14ac:dyDescent="0.25">
      <c r="A95" s="94"/>
      <c r="B95" s="94"/>
      <c r="C95" s="94"/>
      <c r="D95" s="97"/>
      <c r="E95" s="98"/>
      <c r="F95" s="98"/>
    </row>
    <row r="96" spans="1:6" x14ac:dyDescent="0.25">
      <c r="A96" s="94"/>
      <c r="B96" s="94"/>
      <c r="C96" s="94"/>
      <c r="D96" s="97"/>
      <c r="E96" s="98"/>
      <c r="F96" s="98"/>
    </row>
    <row r="97" spans="1:6" x14ac:dyDescent="0.25">
      <c r="A97" s="94"/>
      <c r="B97" s="94"/>
      <c r="C97" s="94"/>
      <c r="D97" s="97"/>
      <c r="E97" s="99"/>
      <c r="F97" s="99"/>
    </row>
    <row r="98" spans="1:6" x14ac:dyDescent="0.25">
      <c r="A98" s="94"/>
      <c r="B98" s="94"/>
      <c r="C98" s="94"/>
      <c r="D98" s="97"/>
      <c r="E98" s="98"/>
      <c r="F98" s="98"/>
    </row>
    <row r="99" spans="1:6" x14ac:dyDescent="0.25">
      <c r="A99" s="94"/>
      <c r="B99" s="94"/>
      <c r="C99" s="94"/>
      <c r="D99" s="97"/>
      <c r="E99" s="98"/>
      <c r="F99" s="98"/>
    </row>
    <row r="100" spans="1:6" x14ac:dyDescent="0.25">
      <c r="A100" s="94"/>
      <c r="B100" s="94"/>
      <c r="C100" s="94"/>
      <c r="D100" s="97"/>
      <c r="E100" s="98"/>
      <c r="F100" s="98"/>
    </row>
    <row r="101" spans="1:6" x14ac:dyDescent="0.25">
      <c r="A101" s="94"/>
      <c r="B101" s="93"/>
      <c r="C101" s="94"/>
      <c r="D101" s="97"/>
      <c r="E101" s="100"/>
      <c r="F101" s="100"/>
    </row>
    <row r="102" spans="1:6" x14ac:dyDescent="0.25">
      <c r="A102" s="94"/>
      <c r="B102" s="94"/>
      <c r="C102" s="93"/>
      <c r="D102" s="97"/>
      <c r="E102" s="101"/>
      <c r="F102" s="101"/>
    </row>
    <row r="103" spans="1:6" x14ac:dyDescent="0.25">
      <c r="A103" s="94"/>
      <c r="B103" s="94"/>
      <c r="C103" s="93"/>
      <c r="D103" s="96"/>
      <c r="E103" s="102"/>
      <c r="F103" s="102"/>
    </row>
    <row r="104" spans="1:6" x14ac:dyDescent="0.25">
      <c r="A104" s="94"/>
      <c r="B104" s="94"/>
      <c r="C104" s="94"/>
      <c r="D104" s="97"/>
      <c r="E104" s="98"/>
      <c r="F104" s="98"/>
    </row>
    <row r="105" spans="1:6" x14ac:dyDescent="0.25">
      <c r="A105" s="94"/>
      <c r="B105" s="93"/>
      <c r="C105" s="94"/>
      <c r="D105" s="97"/>
      <c r="E105" s="100"/>
      <c r="F105" s="100"/>
    </row>
    <row r="106" spans="1:6" x14ac:dyDescent="0.25">
      <c r="A106" s="94"/>
      <c r="B106" s="94"/>
      <c r="C106" s="93"/>
      <c r="D106" s="97"/>
      <c r="E106" s="100"/>
      <c r="F106" s="100"/>
    </row>
    <row r="107" spans="1:6" x14ac:dyDescent="0.25">
      <c r="A107" s="94"/>
      <c r="B107" s="94"/>
      <c r="C107" s="93"/>
      <c r="D107" s="103"/>
      <c r="E107" s="99"/>
      <c r="F107" s="99"/>
    </row>
    <row r="108" spans="1:6" x14ac:dyDescent="0.25">
      <c r="A108" s="94"/>
      <c r="B108" s="94"/>
      <c r="C108" s="94"/>
      <c r="D108" s="104"/>
      <c r="E108" s="105"/>
      <c r="F108" s="105"/>
    </row>
    <row r="109" spans="1:6" x14ac:dyDescent="0.25">
      <c r="A109" s="94"/>
      <c r="B109" s="94"/>
      <c r="C109" s="94"/>
      <c r="D109" s="96"/>
      <c r="E109" s="106"/>
      <c r="F109" s="106"/>
    </row>
    <row r="110" spans="1:6" x14ac:dyDescent="0.25">
      <c r="A110" s="94"/>
      <c r="B110" s="94"/>
      <c r="C110" s="94"/>
      <c r="D110" s="97"/>
      <c r="E110" s="98"/>
      <c r="F110" s="98"/>
    </row>
    <row r="111" spans="1:6" x14ac:dyDescent="0.25">
      <c r="A111" s="94"/>
      <c r="B111" s="94"/>
      <c r="C111" s="93"/>
      <c r="D111" s="97"/>
      <c r="E111" s="107"/>
      <c r="F111" s="107"/>
    </row>
    <row r="112" spans="1:6" x14ac:dyDescent="0.25">
      <c r="A112" s="94"/>
      <c r="B112" s="94"/>
      <c r="C112" s="93"/>
      <c r="D112" s="97"/>
      <c r="E112" s="99"/>
      <c r="F112" s="99"/>
    </row>
    <row r="113" spans="1:6" x14ac:dyDescent="0.25">
      <c r="A113" s="94"/>
      <c r="B113" s="94"/>
      <c r="C113" s="94"/>
      <c r="D113" s="97"/>
      <c r="E113" s="98"/>
      <c r="F113" s="98"/>
    </row>
    <row r="114" spans="1:6" x14ac:dyDescent="0.25">
      <c r="A114" s="94"/>
      <c r="B114" s="94"/>
      <c r="C114" s="94"/>
      <c r="D114" s="97"/>
      <c r="E114" s="106"/>
      <c r="F114" s="106"/>
    </row>
    <row r="115" spans="1:6" x14ac:dyDescent="0.25">
      <c r="A115" s="94"/>
      <c r="B115" s="94"/>
      <c r="C115" s="94"/>
      <c r="D115" s="97"/>
      <c r="E115" s="98"/>
      <c r="F115" s="98"/>
    </row>
    <row r="116" spans="1:6" x14ac:dyDescent="0.25">
      <c r="A116" s="94"/>
      <c r="B116" s="94"/>
      <c r="C116" s="94"/>
      <c r="D116" s="97"/>
      <c r="E116" s="102"/>
      <c r="F116" s="102"/>
    </row>
    <row r="117" spans="1:6" x14ac:dyDescent="0.25">
      <c r="A117" s="94"/>
      <c r="B117" s="94"/>
      <c r="C117" s="94"/>
      <c r="D117" s="104"/>
      <c r="E117" s="105"/>
      <c r="F117" s="105"/>
    </row>
    <row r="118" spans="1:6" x14ac:dyDescent="0.25">
      <c r="A118" s="94"/>
      <c r="B118" s="93"/>
      <c r="C118" s="94"/>
      <c r="D118" s="104"/>
      <c r="E118" s="101"/>
      <c r="F118" s="101"/>
    </row>
    <row r="119" spans="1:6" x14ac:dyDescent="0.25">
      <c r="A119" s="94"/>
      <c r="B119" s="94"/>
      <c r="C119" s="93"/>
      <c r="D119" s="104"/>
      <c r="E119" s="108"/>
      <c r="F119" s="108"/>
    </row>
    <row r="120" spans="1:6" x14ac:dyDescent="0.25">
      <c r="A120" s="94"/>
      <c r="B120" s="94"/>
      <c r="C120" s="93"/>
      <c r="D120" s="96"/>
      <c r="E120" s="99"/>
      <c r="F120" s="99"/>
    </row>
    <row r="121" spans="1:6" x14ac:dyDescent="0.25">
      <c r="A121" s="94"/>
      <c r="B121" s="94"/>
      <c r="C121" s="94"/>
      <c r="D121" s="97"/>
      <c r="E121" s="98"/>
      <c r="F121" s="98"/>
    </row>
    <row r="122" spans="1:6" x14ac:dyDescent="0.25">
      <c r="A122" s="94"/>
      <c r="B122" s="93"/>
      <c r="C122" s="94"/>
      <c r="D122" s="97"/>
      <c r="E122" s="100"/>
      <c r="F122" s="100"/>
    </row>
    <row r="123" spans="1:6" x14ac:dyDescent="0.25">
      <c r="A123" s="94"/>
      <c r="B123" s="94"/>
      <c r="C123" s="93"/>
      <c r="D123" s="97"/>
      <c r="E123" s="101"/>
      <c r="F123" s="101"/>
    </row>
    <row r="124" spans="1:6" x14ac:dyDescent="0.25">
      <c r="A124" s="94"/>
      <c r="B124" s="94"/>
      <c r="C124" s="93"/>
      <c r="D124" s="96"/>
      <c r="E124" s="99"/>
      <c r="F124" s="99"/>
    </row>
    <row r="125" spans="1:6" x14ac:dyDescent="0.25">
      <c r="A125" s="94"/>
      <c r="B125" s="94"/>
      <c r="C125" s="94"/>
      <c r="D125" s="104"/>
      <c r="E125" s="98"/>
      <c r="F125" s="98"/>
    </row>
    <row r="126" spans="1:6" x14ac:dyDescent="0.25">
      <c r="A126" s="94"/>
      <c r="B126" s="94"/>
      <c r="C126" s="93"/>
      <c r="D126" s="104"/>
      <c r="E126" s="101"/>
      <c r="F126" s="101"/>
    </row>
    <row r="127" spans="1:6" x14ac:dyDescent="0.25">
      <c r="A127" s="94"/>
      <c r="B127" s="94"/>
      <c r="C127" s="94"/>
      <c r="D127" s="96"/>
      <c r="E127" s="102"/>
      <c r="F127" s="102"/>
    </row>
    <row r="128" spans="1:6" x14ac:dyDescent="0.25">
      <c r="A128" s="94"/>
      <c r="B128" s="94"/>
      <c r="C128" s="94"/>
      <c r="D128" s="97"/>
      <c r="E128" s="98"/>
      <c r="F128" s="98"/>
    </row>
    <row r="129" spans="1:6" x14ac:dyDescent="0.25">
      <c r="A129" s="94"/>
      <c r="B129" s="94"/>
      <c r="C129" s="94"/>
      <c r="D129" s="96"/>
      <c r="E129" s="99"/>
      <c r="F129" s="99"/>
    </row>
    <row r="130" spans="1:6" x14ac:dyDescent="0.25">
      <c r="A130" s="94"/>
      <c r="B130" s="94"/>
      <c r="C130" s="94"/>
      <c r="D130" s="97"/>
      <c r="E130" s="98"/>
      <c r="F130" s="98"/>
    </row>
    <row r="131" spans="1:6" x14ac:dyDescent="0.25">
      <c r="A131" s="94"/>
      <c r="B131" s="94"/>
      <c r="C131" s="94"/>
      <c r="D131" s="97"/>
      <c r="E131" s="98"/>
      <c r="F131" s="98"/>
    </row>
    <row r="132" spans="1:6" x14ac:dyDescent="0.25">
      <c r="A132" s="93"/>
      <c r="B132" s="94"/>
      <c r="C132" s="94"/>
      <c r="D132" s="95"/>
      <c r="E132" s="101"/>
      <c r="F132" s="101"/>
    </row>
    <row r="133" spans="1:6" x14ac:dyDescent="0.25">
      <c r="A133" s="94"/>
      <c r="B133" s="93"/>
      <c r="C133" s="93"/>
      <c r="D133" s="109"/>
      <c r="E133" s="101"/>
      <c r="F133" s="101"/>
    </row>
    <row r="134" spans="1:6" x14ac:dyDescent="0.25">
      <c r="A134" s="94"/>
      <c r="B134" s="93"/>
      <c r="C134" s="93"/>
      <c r="D134" s="109"/>
      <c r="E134" s="100"/>
      <c r="F134" s="100"/>
    </row>
    <row r="135" spans="1:6" x14ac:dyDescent="0.25">
      <c r="A135" s="94"/>
      <c r="B135" s="93"/>
      <c r="C135" s="93"/>
      <c r="D135" s="96"/>
      <c r="E135" s="106"/>
      <c r="F135" s="106"/>
    </row>
    <row r="136" spans="1:6" x14ac:dyDescent="0.25">
      <c r="A136" s="94"/>
      <c r="B136" s="94"/>
      <c r="C136" s="94"/>
      <c r="D136" s="97"/>
      <c r="E136" s="98"/>
      <c r="F136" s="98"/>
    </row>
    <row r="137" spans="1:6" x14ac:dyDescent="0.25">
      <c r="A137" s="94"/>
      <c r="B137" s="93"/>
      <c r="C137" s="94"/>
      <c r="D137" s="97"/>
      <c r="E137" s="101"/>
      <c r="F137" s="101"/>
    </row>
    <row r="138" spans="1:6" x14ac:dyDescent="0.25">
      <c r="A138" s="94"/>
      <c r="B138" s="94"/>
      <c r="C138" s="93"/>
      <c r="D138" s="97"/>
      <c r="E138" s="100"/>
      <c r="F138" s="100"/>
    </row>
    <row r="139" spans="1:6" x14ac:dyDescent="0.25">
      <c r="A139" s="94"/>
      <c r="B139" s="94"/>
      <c r="C139" s="93"/>
      <c r="D139" s="96"/>
      <c r="E139" s="99"/>
      <c r="F139" s="99"/>
    </row>
    <row r="140" spans="1:6" x14ac:dyDescent="0.25">
      <c r="A140" s="94"/>
      <c r="B140" s="94"/>
      <c r="C140" s="94"/>
      <c r="D140" s="97"/>
      <c r="E140" s="98"/>
      <c r="F140" s="98"/>
    </row>
    <row r="141" spans="1:6" x14ac:dyDescent="0.25">
      <c r="A141" s="94"/>
      <c r="B141" s="94"/>
      <c r="C141" s="94"/>
      <c r="D141" s="97"/>
      <c r="E141" s="98"/>
      <c r="F141" s="98"/>
    </row>
    <row r="142" spans="1:6" x14ac:dyDescent="0.25">
      <c r="A142" s="94"/>
      <c r="B142" s="94"/>
      <c r="C142" s="94"/>
      <c r="D142" s="110"/>
      <c r="E142" s="111"/>
      <c r="F142" s="111"/>
    </row>
    <row r="143" spans="1:6" x14ac:dyDescent="0.25">
      <c r="A143" s="94"/>
      <c r="B143" s="94"/>
      <c r="C143" s="94"/>
      <c r="D143" s="97"/>
      <c r="E143" s="98"/>
      <c r="F143" s="98"/>
    </row>
    <row r="144" spans="1:6" x14ac:dyDescent="0.25">
      <c r="A144" s="94"/>
      <c r="B144" s="94"/>
      <c r="C144" s="94"/>
      <c r="D144" s="97"/>
      <c r="E144" s="98"/>
      <c r="F144" s="98"/>
    </row>
    <row r="145" spans="1:6" x14ac:dyDescent="0.25">
      <c r="A145" s="94"/>
      <c r="B145" s="94"/>
      <c r="C145" s="94"/>
      <c r="D145" s="97"/>
      <c r="E145" s="98"/>
      <c r="F145" s="98"/>
    </row>
    <row r="146" spans="1:6" x14ac:dyDescent="0.25">
      <c r="A146" s="94"/>
      <c r="B146" s="94"/>
      <c r="C146" s="94"/>
      <c r="D146" s="96"/>
      <c r="E146" s="99"/>
      <c r="F146" s="99"/>
    </row>
    <row r="147" spans="1:6" x14ac:dyDescent="0.25">
      <c r="A147" s="94"/>
      <c r="B147" s="94"/>
      <c r="C147" s="94"/>
      <c r="D147" s="97"/>
      <c r="E147" s="98"/>
      <c r="F147" s="98"/>
    </row>
    <row r="148" spans="1:6" x14ac:dyDescent="0.25">
      <c r="A148" s="94"/>
      <c r="B148" s="94"/>
      <c r="C148" s="94"/>
      <c r="D148" s="96"/>
      <c r="E148" s="99"/>
      <c r="F148" s="99"/>
    </row>
    <row r="149" spans="1:6" x14ac:dyDescent="0.25">
      <c r="A149" s="94"/>
      <c r="B149" s="94"/>
      <c r="C149" s="94"/>
      <c r="D149" s="97"/>
      <c r="E149" s="98"/>
      <c r="F149" s="98"/>
    </row>
    <row r="150" spans="1:6" x14ac:dyDescent="0.25">
      <c r="A150" s="94"/>
      <c r="B150" s="94"/>
      <c r="C150" s="94"/>
      <c r="D150" s="97"/>
      <c r="E150" s="98"/>
      <c r="F150" s="98"/>
    </row>
    <row r="151" spans="1:6" x14ac:dyDescent="0.25">
      <c r="A151" s="94"/>
      <c r="B151" s="94"/>
      <c r="C151" s="94"/>
      <c r="D151" s="97"/>
      <c r="E151" s="98"/>
      <c r="F151" s="98"/>
    </row>
    <row r="152" spans="1:6" x14ac:dyDescent="0.25">
      <c r="A152" s="94"/>
      <c r="B152" s="94"/>
      <c r="C152" s="94"/>
      <c r="D152" s="97"/>
      <c r="E152" s="98"/>
      <c r="F152" s="98"/>
    </row>
    <row r="153" spans="1:6" x14ac:dyDescent="0.25">
      <c r="A153" s="107"/>
      <c r="B153" s="107"/>
      <c r="C153" s="107"/>
      <c r="D153" s="112"/>
      <c r="E153" s="113"/>
      <c r="F153" s="113"/>
    </row>
    <row r="154" spans="1:6" x14ac:dyDescent="0.25">
      <c r="A154" s="94"/>
      <c r="B154" s="94"/>
      <c r="C154" s="93"/>
      <c r="D154" s="97"/>
      <c r="E154" s="100"/>
      <c r="F154" s="100"/>
    </row>
    <row r="155" spans="1:6" x14ac:dyDescent="0.25">
      <c r="A155" s="94"/>
      <c r="B155" s="94"/>
      <c r="C155" s="94"/>
      <c r="D155" s="114"/>
      <c r="E155" s="115"/>
      <c r="F155" s="115"/>
    </row>
    <row r="156" spans="1:6" x14ac:dyDescent="0.25">
      <c r="A156" s="94"/>
      <c r="B156" s="94"/>
      <c r="C156" s="94"/>
      <c r="D156" s="97"/>
      <c r="E156" s="98"/>
      <c r="F156" s="98"/>
    </row>
    <row r="157" spans="1:6" x14ac:dyDescent="0.25">
      <c r="A157" s="94"/>
      <c r="B157" s="94"/>
      <c r="C157" s="94"/>
      <c r="D157" s="110"/>
      <c r="E157" s="111"/>
      <c r="F157" s="111"/>
    </row>
    <row r="158" spans="1:6" x14ac:dyDescent="0.25">
      <c r="A158" s="94"/>
      <c r="B158" s="94"/>
      <c r="C158" s="94"/>
      <c r="D158" s="110"/>
      <c r="E158" s="111"/>
      <c r="F158" s="111"/>
    </row>
    <row r="159" spans="1:6" x14ac:dyDescent="0.25">
      <c r="A159" s="94"/>
      <c r="B159" s="94"/>
      <c r="C159" s="94"/>
      <c r="D159" s="97"/>
      <c r="E159" s="98"/>
      <c r="F159" s="98"/>
    </row>
    <row r="160" spans="1:6" x14ac:dyDescent="0.25">
      <c r="A160" s="94"/>
      <c r="B160" s="94"/>
      <c r="C160" s="94"/>
      <c r="D160" s="96"/>
      <c r="E160" s="99"/>
      <c r="F160" s="99"/>
    </row>
    <row r="161" spans="1:6" x14ac:dyDescent="0.25">
      <c r="A161" s="94"/>
      <c r="B161" s="94"/>
      <c r="C161" s="94"/>
      <c r="D161" s="97"/>
      <c r="E161" s="98"/>
      <c r="F161" s="98"/>
    </row>
    <row r="162" spans="1:6" x14ac:dyDescent="0.25">
      <c r="A162" s="94"/>
      <c r="B162" s="94"/>
      <c r="C162" s="94"/>
      <c r="D162" s="97"/>
      <c r="E162" s="98"/>
      <c r="F162" s="98"/>
    </row>
    <row r="163" spans="1:6" x14ac:dyDescent="0.25">
      <c r="A163" s="94"/>
      <c r="B163" s="94"/>
      <c r="C163" s="94"/>
      <c r="D163" s="96"/>
      <c r="E163" s="99"/>
      <c r="F163" s="99"/>
    </row>
    <row r="164" spans="1:6" x14ac:dyDescent="0.25">
      <c r="A164" s="94"/>
      <c r="B164" s="94"/>
      <c r="C164" s="94"/>
      <c r="D164" s="97"/>
      <c r="E164" s="98"/>
      <c r="F164" s="98"/>
    </row>
    <row r="165" spans="1:6" x14ac:dyDescent="0.25">
      <c r="A165" s="94"/>
      <c r="B165" s="94"/>
      <c r="C165" s="94"/>
      <c r="D165" s="110"/>
      <c r="E165" s="111"/>
      <c r="F165" s="111"/>
    </row>
    <row r="166" spans="1:6" x14ac:dyDescent="0.25">
      <c r="A166" s="94"/>
      <c r="B166" s="94"/>
      <c r="C166" s="94"/>
      <c r="D166" s="96"/>
      <c r="E166" s="115"/>
      <c r="F166" s="115"/>
    </row>
    <row r="167" spans="1:6" x14ac:dyDescent="0.25">
      <c r="A167" s="94"/>
      <c r="B167" s="94"/>
      <c r="C167" s="94"/>
      <c r="D167" s="104"/>
      <c r="E167" s="111"/>
      <c r="F167" s="111"/>
    </row>
    <row r="168" spans="1:6" x14ac:dyDescent="0.25">
      <c r="A168" s="94"/>
      <c r="B168" s="94"/>
      <c r="C168" s="94"/>
      <c r="D168" s="96"/>
      <c r="E168" s="99"/>
      <c r="F168" s="99"/>
    </row>
    <row r="169" spans="1:6" x14ac:dyDescent="0.25">
      <c r="A169" s="94"/>
      <c r="B169" s="94"/>
      <c r="C169" s="94"/>
      <c r="D169" s="97"/>
      <c r="E169" s="98"/>
      <c r="F169" s="98"/>
    </row>
    <row r="170" spans="1:6" x14ac:dyDescent="0.25">
      <c r="A170" s="94"/>
      <c r="B170" s="94"/>
      <c r="C170" s="93"/>
      <c r="D170" s="97"/>
      <c r="E170" s="100"/>
      <c r="F170" s="100"/>
    </row>
    <row r="171" spans="1:6" x14ac:dyDescent="0.25">
      <c r="A171" s="94"/>
      <c r="B171" s="94"/>
      <c r="C171" s="94"/>
      <c r="D171" s="104"/>
      <c r="E171" s="99"/>
      <c r="F171" s="99"/>
    </row>
    <row r="172" spans="1:6" x14ac:dyDescent="0.25">
      <c r="A172" s="94"/>
      <c r="B172" s="94"/>
      <c r="C172" s="94"/>
      <c r="D172" s="104"/>
      <c r="E172" s="111"/>
      <c r="F172" s="111"/>
    </row>
    <row r="173" spans="1:6" x14ac:dyDescent="0.25">
      <c r="A173" s="94"/>
      <c r="B173" s="94"/>
      <c r="C173" s="93"/>
      <c r="D173" s="104"/>
      <c r="E173" s="116"/>
      <c r="F173" s="116"/>
    </row>
    <row r="174" spans="1:6" x14ac:dyDescent="0.25">
      <c r="A174" s="94"/>
      <c r="B174" s="94"/>
      <c r="C174" s="93"/>
      <c r="D174" s="96"/>
      <c r="E174" s="106"/>
      <c r="F174" s="106"/>
    </row>
    <row r="175" spans="1:6" x14ac:dyDescent="0.25">
      <c r="A175" s="94"/>
      <c r="B175" s="94"/>
      <c r="C175" s="94"/>
      <c r="D175" s="97"/>
      <c r="E175" s="98"/>
      <c r="F175" s="98"/>
    </row>
    <row r="176" spans="1:6" x14ac:dyDescent="0.25">
      <c r="A176" s="94"/>
      <c r="B176" s="94"/>
      <c r="C176" s="94"/>
      <c r="D176" s="114"/>
      <c r="E176" s="117"/>
      <c r="F176" s="117"/>
    </row>
    <row r="177" spans="1:6" x14ac:dyDescent="0.25">
      <c r="A177" s="94"/>
      <c r="B177" s="94"/>
      <c r="C177" s="94"/>
      <c r="D177" s="110"/>
      <c r="E177" s="111"/>
      <c r="F177" s="111"/>
    </row>
    <row r="178" spans="1:6" x14ac:dyDescent="0.25">
      <c r="A178" s="94"/>
      <c r="B178" s="93"/>
      <c r="C178" s="94"/>
      <c r="D178" s="110"/>
      <c r="E178" s="118"/>
      <c r="F178" s="118"/>
    </row>
    <row r="179" spans="1:6" x14ac:dyDescent="0.25">
      <c r="A179" s="94"/>
      <c r="B179" s="94"/>
      <c r="C179" s="93"/>
      <c r="D179" s="110"/>
      <c r="E179" s="118"/>
      <c r="F179" s="118"/>
    </row>
    <row r="180" spans="1:6" x14ac:dyDescent="0.25">
      <c r="A180" s="94"/>
      <c r="B180" s="94"/>
      <c r="C180" s="94"/>
      <c r="D180" s="114"/>
      <c r="E180" s="115"/>
      <c r="F180" s="115"/>
    </row>
    <row r="181" spans="1:6" x14ac:dyDescent="0.25">
      <c r="A181" s="94"/>
      <c r="B181" s="94"/>
      <c r="C181" s="94"/>
      <c r="D181" s="110"/>
      <c r="E181" s="111"/>
      <c r="F181" s="111"/>
    </row>
    <row r="182" spans="1:6" x14ac:dyDescent="0.25">
      <c r="A182" s="94"/>
      <c r="B182" s="93"/>
      <c r="C182" s="94"/>
      <c r="D182" s="110"/>
      <c r="E182" s="119"/>
      <c r="F182" s="119"/>
    </row>
    <row r="183" spans="1:6" x14ac:dyDescent="0.25">
      <c r="A183" s="94"/>
      <c r="B183" s="94"/>
      <c r="C183" s="93"/>
      <c r="D183" s="110"/>
      <c r="E183" s="100"/>
      <c r="F183" s="100"/>
    </row>
    <row r="184" spans="1:6" x14ac:dyDescent="0.25">
      <c r="A184" s="94"/>
      <c r="B184" s="94"/>
      <c r="C184" s="93"/>
      <c r="D184" s="96"/>
      <c r="E184" s="106"/>
      <c r="F184" s="106"/>
    </row>
    <row r="185" spans="1:6" x14ac:dyDescent="0.25">
      <c r="A185" s="94"/>
      <c r="B185" s="94"/>
      <c r="C185" s="94"/>
      <c r="D185" s="97"/>
      <c r="E185" s="98"/>
      <c r="F185" s="98"/>
    </row>
    <row r="186" spans="1:6" x14ac:dyDescent="0.25">
      <c r="A186" s="94"/>
      <c r="B186" s="94"/>
      <c r="C186" s="93"/>
      <c r="D186" s="97"/>
      <c r="E186" s="116"/>
      <c r="F186" s="116"/>
    </row>
    <row r="187" spans="1:6" x14ac:dyDescent="0.25">
      <c r="A187" s="94"/>
      <c r="B187" s="94"/>
      <c r="C187" s="94"/>
      <c r="D187" s="114"/>
      <c r="E187" s="115"/>
      <c r="F187" s="115"/>
    </row>
    <row r="188" spans="1:6" x14ac:dyDescent="0.25">
      <c r="A188" s="94"/>
      <c r="B188" s="94"/>
      <c r="C188" s="94"/>
      <c r="D188" s="110"/>
      <c r="E188" s="111"/>
      <c r="F188" s="111"/>
    </row>
    <row r="189" spans="1:6" x14ac:dyDescent="0.25">
      <c r="A189" s="94"/>
      <c r="B189" s="94"/>
      <c r="C189" s="94"/>
      <c r="D189" s="97"/>
      <c r="E189" s="98"/>
      <c r="F189" s="98"/>
    </row>
    <row r="190" spans="1:6" ht="15.75" x14ac:dyDescent="0.25">
      <c r="A190" s="90"/>
      <c r="B190" s="120"/>
      <c r="C190" s="120"/>
      <c r="D190" s="120"/>
      <c r="E190" s="101"/>
      <c r="F190" s="101"/>
    </row>
    <row r="191" spans="1:6" x14ac:dyDescent="0.25">
      <c r="A191" s="93"/>
      <c r="B191" s="94"/>
      <c r="C191" s="94"/>
      <c r="D191" s="95"/>
      <c r="E191" s="101"/>
      <c r="F191" s="101"/>
    </row>
    <row r="192" spans="1:6" x14ac:dyDescent="0.25">
      <c r="A192" s="93"/>
      <c r="B192" s="93"/>
      <c r="C192" s="94"/>
      <c r="D192" s="95"/>
      <c r="E192" s="100"/>
      <c r="F192" s="100"/>
    </row>
    <row r="193" spans="1:6" x14ac:dyDescent="0.25">
      <c r="A193" s="94"/>
      <c r="B193" s="94"/>
      <c r="C193" s="93"/>
      <c r="D193" s="97"/>
      <c r="E193" s="101"/>
      <c r="F193" s="101"/>
    </row>
    <row r="194" spans="1:6" x14ac:dyDescent="0.25">
      <c r="A194" s="94"/>
      <c r="B194" s="94"/>
      <c r="C194" s="94"/>
      <c r="D194" s="103"/>
      <c r="E194" s="99"/>
      <c r="F194" s="99"/>
    </row>
    <row r="195" spans="1:6" x14ac:dyDescent="0.25">
      <c r="A195" s="94"/>
      <c r="B195" s="93"/>
      <c r="C195" s="94"/>
      <c r="D195" s="97"/>
      <c r="E195" s="100"/>
      <c r="F195" s="100"/>
    </row>
    <row r="196" spans="1:6" x14ac:dyDescent="0.25">
      <c r="A196" s="94"/>
      <c r="B196" s="94"/>
      <c r="C196" s="93"/>
      <c r="D196" s="97"/>
      <c r="E196" s="100"/>
      <c r="F196" s="100"/>
    </row>
    <row r="197" spans="1:6" x14ac:dyDescent="0.25">
      <c r="A197" s="94"/>
      <c r="B197" s="94"/>
      <c r="C197" s="94"/>
      <c r="D197" s="96"/>
      <c r="E197" s="106"/>
      <c r="F197" s="106"/>
    </row>
    <row r="198" spans="1:6" x14ac:dyDescent="0.25">
      <c r="A198" s="94"/>
      <c r="B198" s="94"/>
      <c r="C198" s="93"/>
      <c r="D198" s="97"/>
      <c r="E198" s="107"/>
      <c r="F198" s="107"/>
    </row>
    <row r="199" spans="1:6" x14ac:dyDescent="0.25">
      <c r="A199" s="94"/>
      <c r="B199" s="94"/>
      <c r="C199" s="94"/>
      <c r="D199" s="97"/>
      <c r="E199" s="106"/>
      <c r="F199" s="106"/>
    </row>
    <row r="200" spans="1:6" x14ac:dyDescent="0.25">
      <c r="A200" s="94"/>
      <c r="B200" s="93"/>
      <c r="C200" s="94"/>
      <c r="D200" s="104"/>
      <c r="E200" s="101"/>
      <c r="F200" s="101"/>
    </row>
    <row r="201" spans="1:6" x14ac:dyDescent="0.25">
      <c r="A201" s="94"/>
      <c r="B201" s="94"/>
      <c r="C201" s="93"/>
      <c r="D201" s="104"/>
      <c r="E201" s="108"/>
      <c r="F201" s="108"/>
    </row>
    <row r="202" spans="1:6" x14ac:dyDescent="0.25">
      <c r="A202" s="94"/>
      <c r="B202" s="94"/>
      <c r="C202" s="94"/>
      <c r="D202" s="96"/>
      <c r="E202" s="99"/>
      <c r="F202" s="99"/>
    </row>
    <row r="203" spans="1:6" x14ac:dyDescent="0.25">
      <c r="A203" s="93"/>
      <c r="B203" s="94"/>
      <c r="C203" s="94"/>
      <c r="D203" s="95"/>
      <c r="E203" s="101"/>
      <c r="F203" s="101"/>
    </row>
    <row r="204" spans="1:6" x14ac:dyDescent="0.25">
      <c r="A204" s="94"/>
      <c r="B204" s="93"/>
      <c r="C204" s="94"/>
      <c r="D204" s="97"/>
      <c r="E204" s="101"/>
      <c r="F204" s="101"/>
    </row>
    <row r="205" spans="1:6" x14ac:dyDescent="0.25">
      <c r="A205" s="94"/>
      <c r="B205" s="94"/>
      <c r="C205" s="93"/>
      <c r="D205" s="97"/>
      <c r="E205" s="100"/>
      <c r="F205" s="100"/>
    </row>
    <row r="206" spans="1:6" x14ac:dyDescent="0.25">
      <c r="A206" s="94"/>
      <c r="B206" s="94"/>
      <c r="C206" s="93"/>
      <c r="D206" s="96"/>
      <c r="E206" s="99"/>
      <c r="F206" s="99"/>
    </row>
    <row r="207" spans="1:6" x14ac:dyDescent="0.25">
      <c r="A207" s="94"/>
      <c r="B207" s="94"/>
      <c r="C207" s="93"/>
      <c r="D207" s="97"/>
      <c r="E207" s="100"/>
      <c r="F207" s="100"/>
    </row>
    <row r="208" spans="1:6" x14ac:dyDescent="0.25">
      <c r="A208" s="94"/>
      <c r="B208" s="94"/>
      <c r="C208" s="94"/>
      <c r="D208" s="114"/>
      <c r="E208" s="115"/>
      <c r="F208" s="115"/>
    </row>
    <row r="209" spans="1:6" x14ac:dyDescent="0.25">
      <c r="A209" s="94"/>
      <c r="B209" s="94"/>
      <c r="C209" s="93"/>
      <c r="D209" s="104"/>
      <c r="E209" s="116"/>
      <c r="F209" s="116"/>
    </row>
    <row r="210" spans="1:6" x14ac:dyDescent="0.25">
      <c r="A210" s="94"/>
      <c r="B210" s="94"/>
      <c r="C210" s="93"/>
      <c r="D210" s="96"/>
      <c r="E210" s="106"/>
      <c r="F210" s="106"/>
    </row>
    <row r="211" spans="1:6" x14ac:dyDescent="0.25">
      <c r="A211" s="94"/>
      <c r="B211" s="94"/>
      <c r="C211" s="94"/>
      <c r="D211" s="114"/>
      <c r="E211" s="121"/>
      <c r="F211" s="121"/>
    </row>
    <row r="212" spans="1:6" x14ac:dyDescent="0.25">
      <c r="A212" s="94"/>
      <c r="B212" s="93"/>
      <c r="C212" s="94"/>
      <c r="D212" s="110"/>
      <c r="E212" s="119"/>
      <c r="F212" s="119"/>
    </row>
    <row r="213" spans="1:6" x14ac:dyDescent="0.25">
      <c r="A213" s="94"/>
      <c r="B213" s="94"/>
      <c r="C213" s="93"/>
      <c r="D213" s="110"/>
      <c r="E213" s="100"/>
      <c r="F213" s="100"/>
    </row>
    <row r="214" spans="1:6" x14ac:dyDescent="0.25">
      <c r="A214" s="94"/>
      <c r="B214" s="94"/>
      <c r="C214" s="93"/>
      <c r="D214" s="96"/>
      <c r="E214" s="106"/>
      <c r="F214" s="106"/>
    </row>
    <row r="215" spans="1:6" x14ac:dyDescent="0.25">
      <c r="A215" s="94"/>
      <c r="B215" s="94"/>
      <c r="C215" s="93"/>
      <c r="D215" s="96"/>
      <c r="E215" s="106"/>
      <c r="F215" s="106"/>
    </row>
    <row r="216" spans="1:6" x14ac:dyDescent="0.25">
      <c r="A216" s="94"/>
      <c r="B216" s="94"/>
      <c r="C216" s="94"/>
      <c r="D216" s="97"/>
      <c r="E216" s="98"/>
      <c r="F216" s="98"/>
    </row>
    <row r="217" spans="1:6" ht="19.5" x14ac:dyDescent="0.35">
      <c r="A217" s="638"/>
      <c r="B217" s="638"/>
      <c r="C217" s="638"/>
      <c r="D217" s="638"/>
      <c r="E217" s="638"/>
      <c r="F217" s="2"/>
    </row>
    <row r="218" spans="1:6" x14ac:dyDescent="0.25">
      <c r="A218" s="107"/>
      <c r="B218" s="107"/>
      <c r="C218" s="107"/>
      <c r="D218" s="112"/>
      <c r="E218" s="113"/>
      <c r="F218" s="113"/>
    </row>
    <row r="219" spans="1:6" x14ac:dyDescent="0.25">
      <c r="A219" s="94"/>
      <c r="B219" s="94"/>
      <c r="C219" s="94"/>
      <c r="D219" s="122"/>
      <c r="E219" s="1"/>
      <c r="F219" s="1"/>
    </row>
    <row r="220" spans="1:6" ht="15.75" x14ac:dyDescent="0.25">
      <c r="A220" s="123"/>
      <c r="B220" s="93"/>
      <c r="C220" s="93"/>
      <c r="D220" s="124"/>
      <c r="E220" s="125"/>
      <c r="F220" s="125"/>
    </row>
    <row r="221" spans="1:6" x14ac:dyDescent="0.25">
      <c r="A221" s="93"/>
      <c r="B221" s="93"/>
      <c r="C221" s="93"/>
      <c r="D221" s="124"/>
      <c r="E221" s="125"/>
      <c r="F221" s="125"/>
    </row>
    <row r="222" spans="1:6" x14ac:dyDescent="0.25">
      <c r="A222" s="93"/>
      <c r="B222" s="93"/>
      <c r="C222" s="93"/>
      <c r="D222" s="124"/>
      <c r="E222" s="125"/>
      <c r="F222" s="125"/>
    </row>
    <row r="223" spans="1:6" x14ac:dyDescent="0.25">
      <c r="A223" s="93"/>
      <c r="B223" s="93"/>
      <c r="C223" s="93"/>
      <c r="D223" s="124"/>
      <c r="E223" s="125"/>
      <c r="F223" s="125"/>
    </row>
    <row r="224" spans="1:6" x14ac:dyDescent="0.25">
      <c r="A224" s="93"/>
      <c r="B224" s="93"/>
      <c r="C224" s="93"/>
      <c r="D224" s="124"/>
      <c r="E224" s="125"/>
      <c r="F224" s="125"/>
    </row>
    <row r="225" spans="1:6" x14ac:dyDescent="0.25">
      <c r="A225" s="93"/>
      <c r="B225" s="93"/>
      <c r="C225" s="93"/>
      <c r="D225" s="122"/>
      <c r="E225" s="1"/>
      <c r="F225" s="1"/>
    </row>
    <row r="226" spans="1:6" x14ac:dyDescent="0.25">
      <c r="A226" s="93"/>
      <c r="B226" s="93"/>
      <c r="C226" s="93"/>
      <c r="D226" s="124"/>
      <c r="E226" s="125"/>
      <c r="F226" s="125"/>
    </row>
    <row r="227" spans="1:6" x14ac:dyDescent="0.25">
      <c r="A227" s="93"/>
      <c r="B227" s="93"/>
      <c r="C227" s="93"/>
      <c r="D227" s="124"/>
      <c r="E227" s="126"/>
      <c r="F227" s="126"/>
    </row>
    <row r="228" spans="1:6" x14ac:dyDescent="0.25">
      <c r="A228" s="93"/>
      <c r="B228" s="93"/>
      <c r="C228" s="93"/>
      <c r="D228" s="124"/>
      <c r="E228" s="125"/>
      <c r="F228" s="125"/>
    </row>
    <row r="229" spans="1:6" x14ac:dyDescent="0.25">
      <c r="A229" s="93"/>
      <c r="B229" s="93"/>
      <c r="C229" s="93"/>
      <c r="D229" s="124"/>
      <c r="E229" s="107"/>
      <c r="F229" s="107"/>
    </row>
    <row r="230" spans="1:6" x14ac:dyDescent="0.25">
      <c r="A230" s="94"/>
      <c r="B230" s="94"/>
      <c r="C230" s="94"/>
      <c r="D230" s="96"/>
      <c r="E230" s="102"/>
      <c r="F230" s="102"/>
    </row>
    <row r="231" spans="1:6" x14ac:dyDescent="0.25">
      <c r="A231" s="94"/>
      <c r="B231" s="94"/>
      <c r="C231" s="94"/>
      <c r="D231" s="122"/>
      <c r="E231" s="1"/>
      <c r="F231" s="1"/>
    </row>
    <row r="232" spans="1:6" x14ac:dyDescent="0.25">
      <c r="A232" s="94"/>
      <c r="B232" s="94"/>
      <c r="C232" s="94"/>
      <c r="D232" s="122"/>
      <c r="E232" s="1"/>
      <c r="F232" s="1"/>
    </row>
    <row r="233" spans="1:6" x14ac:dyDescent="0.25">
      <c r="A233" s="94"/>
      <c r="B233" s="94"/>
      <c r="C233" s="94"/>
      <c r="D233" s="122"/>
      <c r="E233" s="1"/>
      <c r="F233" s="1"/>
    </row>
    <row r="234" spans="1:6" x14ac:dyDescent="0.25">
      <c r="A234" s="94"/>
      <c r="B234" s="94"/>
      <c r="C234" s="94"/>
      <c r="D234" s="122"/>
      <c r="E234" s="1"/>
      <c r="F234" s="1"/>
    </row>
    <row r="235" spans="1:6" x14ac:dyDescent="0.25">
      <c r="A235" s="94"/>
      <c r="B235" s="94"/>
      <c r="C235" s="94"/>
      <c r="D235" s="122"/>
      <c r="E235" s="1"/>
      <c r="F235" s="1"/>
    </row>
    <row r="236" spans="1:6" x14ac:dyDescent="0.25">
      <c r="A236" s="94"/>
      <c r="B236" s="94"/>
      <c r="C236" s="94"/>
      <c r="D236" s="122"/>
      <c r="E236" s="1"/>
      <c r="F236" s="1"/>
    </row>
    <row r="237" spans="1:6" x14ac:dyDescent="0.25">
      <c r="A237" s="94"/>
      <c r="B237" s="94"/>
      <c r="C237" s="94"/>
      <c r="D237" s="122"/>
      <c r="E237" s="1"/>
      <c r="F237" s="1"/>
    </row>
    <row r="238" spans="1:6" x14ac:dyDescent="0.25">
      <c r="A238" s="94"/>
      <c r="B238" s="94"/>
      <c r="C238" s="94"/>
      <c r="D238" s="122"/>
      <c r="E238" s="1"/>
      <c r="F238" s="1"/>
    </row>
    <row r="239" spans="1:6" x14ac:dyDescent="0.25">
      <c r="A239" s="94"/>
      <c r="B239" s="94"/>
      <c r="C239" s="94"/>
      <c r="D239" s="122"/>
      <c r="E239" s="1"/>
      <c r="F239" s="1"/>
    </row>
    <row r="240" spans="1:6" x14ac:dyDescent="0.25">
      <c r="A240" s="94"/>
      <c r="B240" s="94"/>
      <c r="C240" s="94"/>
      <c r="D240" s="122"/>
      <c r="E240" s="1"/>
      <c r="F240" s="1"/>
    </row>
    <row r="241" spans="1:4" x14ac:dyDescent="0.25">
      <c r="A241" s="94"/>
      <c r="B241" s="94"/>
      <c r="C241" s="94"/>
      <c r="D241" s="122"/>
    </row>
    <row r="242" spans="1:4" x14ac:dyDescent="0.25">
      <c r="A242" s="94"/>
      <c r="B242" s="94"/>
      <c r="C242" s="94"/>
      <c r="D242" s="122"/>
    </row>
    <row r="243" spans="1:4" x14ac:dyDescent="0.25">
      <c r="A243" s="94"/>
      <c r="B243" s="94"/>
      <c r="C243" s="94"/>
      <c r="D243" s="122"/>
    </row>
    <row r="244" spans="1:4" x14ac:dyDescent="0.25">
      <c r="A244" s="94"/>
      <c r="B244" s="94"/>
      <c r="C244" s="94"/>
      <c r="D244" s="122"/>
    </row>
    <row r="245" spans="1:4" x14ac:dyDescent="0.25">
      <c r="A245" s="94"/>
      <c r="B245" s="94"/>
      <c r="C245" s="94"/>
      <c r="D245" s="122"/>
    </row>
    <row r="246" spans="1:4" x14ac:dyDescent="0.25">
      <c r="A246" s="94"/>
      <c r="B246" s="94"/>
      <c r="C246" s="94"/>
      <c r="D246" s="122"/>
    </row>
    <row r="247" spans="1:4" x14ac:dyDescent="0.25">
      <c r="A247" s="94"/>
      <c r="B247" s="94"/>
      <c r="C247" s="94"/>
      <c r="D247" s="122"/>
    </row>
    <row r="248" spans="1:4" x14ac:dyDescent="0.25">
      <c r="A248" s="94"/>
      <c r="B248" s="94"/>
      <c r="C248" s="94"/>
      <c r="D248" s="122"/>
    </row>
    <row r="249" spans="1:4" x14ac:dyDescent="0.25">
      <c r="A249" s="94"/>
      <c r="B249" s="94"/>
      <c r="C249" s="94"/>
      <c r="D249" s="122"/>
    </row>
    <row r="250" spans="1:4" x14ac:dyDescent="0.25">
      <c r="A250" s="94"/>
      <c r="B250" s="94"/>
      <c r="C250" s="94"/>
      <c r="D250" s="122"/>
    </row>
    <row r="251" spans="1:4" x14ac:dyDescent="0.25">
      <c r="A251" s="94"/>
      <c r="B251" s="94"/>
      <c r="C251" s="94"/>
      <c r="D251" s="122"/>
    </row>
    <row r="252" spans="1:4" x14ac:dyDescent="0.25">
      <c r="A252" s="94"/>
      <c r="B252" s="94"/>
      <c r="C252" s="94"/>
      <c r="D252" s="122"/>
    </row>
    <row r="253" spans="1:4" x14ac:dyDescent="0.25">
      <c r="A253" s="94"/>
      <c r="B253" s="94"/>
      <c r="C253" s="94"/>
      <c r="D253" s="122"/>
    </row>
    <row r="254" spans="1:4" x14ac:dyDescent="0.25">
      <c r="A254" s="94"/>
      <c r="B254" s="94"/>
      <c r="C254" s="94"/>
      <c r="D254" s="122"/>
    </row>
    <row r="255" spans="1:4" x14ac:dyDescent="0.25">
      <c r="A255" s="94"/>
      <c r="B255" s="94"/>
      <c r="C255" s="94"/>
      <c r="D255" s="122"/>
    </row>
    <row r="256" spans="1:4" x14ac:dyDescent="0.25">
      <c r="A256" s="94"/>
      <c r="B256" s="94"/>
      <c r="C256" s="94"/>
      <c r="D256" s="122"/>
    </row>
    <row r="257" spans="1:4" x14ac:dyDescent="0.25">
      <c r="A257" s="94"/>
      <c r="B257" s="94"/>
      <c r="C257" s="94"/>
      <c r="D257" s="122"/>
    </row>
    <row r="258" spans="1:4" x14ac:dyDescent="0.25">
      <c r="A258" s="94"/>
      <c r="B258" s="94"/>
      <c r="C258" s="94"/>
      <c r="D258" s="122"/>
    </row>
    <row r="259" spans="1:4" x14ac:dyDescent="0.25">
      <c r="A259" s="94"/>
      <c r="B259" s="94"/>
      <c r="C259" s="94"/>
      <c r="D259" s="122"/>
    </row>
    <row r="260" spans="1:4" x14ac:dyDescent="0.25">
      <c r="A260" s="94"/>
      <c r="B260" s="94"/>
      <c r="C260" s="94"/>
      <c r="D260" s="122"/>
    </row>
    <row r="261" spans="1:4" x14ac:dyDescent="0.25">
      <c r="A261" s="94"/>
      <c r="B261" s="94"/>
      <c r="C261" s="94"/>
      <c r="D261" s="122"/>
    </row>
    <row r="262" spans="1:4" x14ac:dyDescent="0.25">
      <c r="A262" s="94"/>
      <c r="B262" s="94"/>
      <c r="C262" s="94"/>
      <c r="D262" s="122"/>
    </row>
    <row r="263" spans="1:4" x14ac:dyDescent="0.25">
      <c r="A263" s="94"/>
      <c r="B263" s="94"/>
      <c r="C263" s="94"/>
      <c r="D263" s="122"/>
    </row>
    <row r="264" spans="1:4" x14ac:dyDescent="0.25">
      <c r="A264" s="94"/>
      <c r="B264" s="94"/>
      <c r="C264" s="94"/>
      <c r="D264" s="122"/>
    </row>
    <row r="265" spans="1:4" x14ac:dyDescent="0.25">
      <c r="A265" s="94"/>
      <c r="B265" s="94"/>
      <c r="C265" s="94"/>
      <c r="D265" s="122"/>
    </row>
    <row r="266" spans="1:4" x14ac:dyDescent="0.25">
      <c r="A266" s="94"/>
      <c r="B266" s="94"/>
      <c r="C266" s="94"/>
      <c r="D266" s="122"/>
    </row>
    <row r="267" spans="1:4" x14ac:dyDescent="0.25">
      <c r="A267" s="94"/>
      <c r="B267" s="94"/>
      <c r="C267" s="94"/>
      <c r="D267" s="122"/>
    </row>
    <row r="268" spans="1:4" x14ac:dyDescent="0.25">
      <c r="A268" s="94"/>
      <c r="B268" s="94"/>
      <c r="C268" s="94"/>
      <c r="D268" s="122"/>
    </row>
    <row r="269" spans="1:4" x14ac:dyDescent="0.25">
      <c r="A269" s="94"/>
      <c r="B269" s="94"/>
      <c r="C269" s="94"/>
      <c r="D269" s="122"/>
    </row>
    <row r="270" spans="1:4" x14ac:dyDescent="0.25">
      <c r="A270" s="94"/>
      <c r="B270" s="94"/>
      <c r="C270" s="94"/>
      <c r="D270" s="122"/>
    </row>
    <row r="271" spans="1:4" x14ac:dyDescent="0.25">
      <c r="A271" s="94"/>
      <c r="B271" s="94"/>
      <c r="C271" s="94"/>
      <c r="D271" s="122"/>
    </row>
    <row r="272" spans="1:4" x14ac:dyDescent="0.25">
      <c r="A272" s="94"/>
      <c r="B272" s="94"/>
      <c r="C272" s="94"/>
      <c r="D272" s="122"/>
    </row>
    <row r="273" spans="1:4" x14ac:dyDescent="0.25">
      <c r="A273" s="94"/>
      <c r="B273" s="94"/>
      <c r="C273" s="94"/>
      <c r="D273" s="122"/>
    </row>
    <row r="274" spans="1:4" x14ac:dyDescent="0.25">
      <c r="A274" s="94"/>
      <c r="B274" s="94"/>
      <c r="C274" s="94"/>
      <c r="D274" s="122"/>
    </row>
    <row r="275" spans="1:4" x14ac:dyDescent="0.25">
      <c r="A275" s="94"/>
      <c r="B275" s="94"/>
      <c r="C275" s="94"/>
      <c r="D275" s="122"/>
    </row>
    <row r="276" spans="1:4" x14ac:dyDescent="0.25">
      <c r="A276" s="94"/>
      <c r="B276" s="94"/>
      <c r="C276" s="94"/>
      <c r="D276" s="122"/>
    </row>
    <row r="277" spans="1:4" x14ac:dyDescent="0.25">
      <c r="A277" s="94"/>
      <c r="B277" s="94"/>
      <c r="C277" s="94"/>
      <c r="D277" s="122"/>
    </row>
    <row r="278" spans="1:4" x14ac:dyDescent="0.25">
      <c r="A278" s="94"/>
      <c r="B278" s="94"/>
      <c r="C278" s="94"/>
      <c r="D278" s="122"/>
    </row>
    <row r="279" spans="1:4" x14ac:dyDescent="0.25">
      <c r="A279" s="94"/>
      <c r="B279" s="94"/>
      <c r="C279" s="94"/>
      <c r="D279" s="122"/>
    </row>
    <row r="280" spans="1:4" x14ac:dyDescent="0.25">
      <c r="A280" s="94"/>
      <c r="B280" s="94"/>
      <c r="C280" s="94"/>
      <c r="D280" s="122"/>
    </row>
    <row r="281" spans="1:4" x14ac:dyDescent="0.25">
      <c r="A281" s="94"/>
      <c r="B281" s="94"/>
      <c r="C281" s="94"/>
      <c r="D281" s="122"/>
    </row>
    <row r="282" spans="1:4" x14ac:dyDescent="0.25">
      <c r="A282" s="94"/>
      <c r="B282" s="94"/>
      <c r="C282" s="94"/>
      <c r="D282" s="122"/>
    </row>
    <row r="283" spans="1:4" x14ac:dyDescent="0.25">
      <c r="A283" s="94"/>
      <c r="B283" s="94"/>
      <c r="C283" s="94"/>
      <c r="D283" s="122"/>
    </row>
    <row r="284" spans="1:4" x14ac:dyDescent="0.25">
      <c r="A284" s="94"/>
      <c r="B284" s="94"/>
      <c r="C284" s="94"/>
      <c r="D284" s="122"/>
    </row>
    <row r="285" spans="1:4" x14ac:dyDescent="0.25">
      <c r="A285" s="94"/>
      <c r="B285" s="94"/>
      <c r="C285" s="94"/>
      <c r="D285" s="122"/>
    </row>
    <row r="286" spans="1:4" x14ac:dyDescent="0.25">
      <c r="A286" s="94"/>
      <c r="B286" s="94"/>
      <c r="C286" s="94"/>
      <c r="D286" s="122"/>
    </row>
    <row r="287" spans="1:4" x14ac:dyDescent="0.25">
      <c r="A287" s="94"/>
      <c r="B287" s="94"/>
      <c r="C287" s="94"/>
      <c r="D287" s="122"/>
    </row>
    <row r="288" spans="1:4" x14ac:dyDescent="0.25">
      <c r="A288" s="94"/>
      <c r="B288" s="94"/>
      <c r="C288" s="94"/>
      <c r="D288" s="122"/>
    </row>
    <row r="289" spans="1:4" x14ac:dyDescent="0.25">
      <c r="A289" s="94"/>
      <c r="B289" s="94"/>
      <c r="C289" s="94"/>
      <c r="D289" s="122"/>
    </row>
    <row r="290" spans="1:4" x14ac:dyDescent="0.25">
      <c r="A290" s="94"/>
      <c r="B290" s="94"/>
      <c r="C290" s="94"/>
      <c r="D290" s="122"/>
    </row>
    <row r="291" spans="1:4" x14ac:dyDescent="0.25">
      <c r="A291" s="94"/>
      <c r="B291" s="94"/>
      <c r="C291" s="94"/>
      <c r="D291" s="122"/>
    </row>
    <row r="292" spans="1:4" x14ac:dyDescent="0.25">
      <c r="A292" s="94"/>
      <c r="B292" s="94"/>
      <c r="C292" s="94"/>
      <c r="D292" s="122"/>
    </row>
    <row r="293" spans="1:4" x14ac:dyDescent="0.25">
      <c r="A293" s="94"/>
      <c r="B293" s="94"/>
      <c r="C293" s="94"/>
      <c r="D293" s="122"/>
    </row>
    <row r="294" spans="1:4" x14ac:dyDescent="0.25">
      <c r="A294" s="94"/>
      <c r="B294" s="94"/>
      <c r="C294" s="94"/>
      <c r="D294" s="122"/>
    </row>
    <row r="295" spans="1:4" x14ac:dyDescent="0.25">
      <c r="A295" s="94"/>
      <c r="B295" s="94"/>
      <c r="C295" s="94"/>
      <c r="D295" s="122"/>
    </row>
    <row r="296" spans="1:4" x14ac:dyDescent="0.25">
      <c r="A296" s="94"/>
      <c r="B296" s="94"/>
      <c r="C296" s="94"/>
      <c r="D296" s="122"/>
    </row>
    <row r="297" spans="1:4" x14ac:dyDescent="0.25">
      <c r="A297" s="94"/>
      <c r="B297" s="94"/>
      <c r="C297" s="94"/>
      <c r="D297" s="122"/>
    </row>
    <row r="298" spans="1:4" x14ac:dyDescent="0.25">
      <c r="A298" s="94"/>
      <c r="B298" s="94"/>
      <c r="C298" s="94"/>
      <c r="D298" s="122"/>
    </row>
    <row r="299" spans="1:4" x14ac:dyDescent="0.25">
      <c r="A299" s="94"/>
      <c r="B299" s="94"/>
      <c r="C299" s="94"/>
      <c r="D299" s="122"/>
    </row>
    <row r="300" spans="1:4" x14ac:dyDescent="0.25">
      <c r="A300" s="94"/>
      <c r="B300" s="94"/>
      <c r="C300" s="94"/>
      <c r="D300" s="122"/>
    </row>
    <row r="301" spans="1:4" x14ac:dyDescent="0.25">
      <c r="A301" s="94"/>
      <c r="B301" s="94"/>
      <c r="C301" s="94"/>
      <c r="D301" s="122"/>
    </row>
    <row r="302" spans="1:4" x14ac:dyDescent="0.25">
      <c r="A302" s="94"/>
      <c r="B302" s="94"/>
      <c r="C302" s="94"/>
      <c r="D302" s="122"/>
    </row>
    <row r="303" spans="1:4" x14ac:dyDescent="0.25">
      <c r="A303" s="94"/>
      <c r="B303" s="94"/>
      <c r="C303" s="94"/>
      <c r="D303" s="122"/>
    </row>
    <row r="304" spans="1:4" x14ac:dyDescent="0.25">
      <c r="A304" s="94"/>
      <c r="B304" s="94"/>
      <c r="C304" s="94"/>
      <c r="D304" s="122"/>
    </row>
    <row r="305" spans="1:4" x14ac:dyDescent="0.25">
      <c r="A305" s="94"/>
      <c r="B305" s="94"/>
      <c r="C305" s="94"/>
      <c r="D305" s="122"/>
    </row>
    <row r="306" spans="1:4" x14ac:dyDescent="0.25">
      <c r="A306" s="94"/>
      <c r="B306" s="94"/>
      <c r="C306" s="94"/>
      <c r="D306" s="122"/>
    </row>
    <row r="307" spans="1:4" x14ac:dyDescent="0.25">
      <c r="A307" s="94"/>
      <c r="B307" s="94"/>
      <c r="C307" s="94"/>
      <c r="D307" s="122"/>
    </row>
    <row r="308" spans="1:4" x14ac:dyDescent="0.25">
      <c r="A308" s="94"/>
      <c r="B308" s="94"/>
      <c r="C308" s="94"/>
      <c r="D308" s="122"/>
    </row>
    <row r="309" spans="1:4" x14ac:dyDescent="0.25">
      <c r="A309" s="94"/>
      <c r="B309" s="94"/>
      <c r="C309" s="94"/>
      <c r="D309" s="122"/>
    </row>
    <row r="310" spans="1:4" x14ac:dyDescent="0.25">
      <c r="A310" s="94"/>
      <c r="B310" s="94"/>
      <c r="C310" s="94"/>
      <c r="D310" s="122"/>
    </row>
    <row r="311" spans="1:4" x14ac:dyDescent="0.25">
      <c r="A311" s="94"/>
      <c r="B311" s="94"/>
      <c r="C311" s="94"/>
      <c r="D311" s="122"/>
    </row>
    <row r="312" spans="1:4" x14ac:dyDescent="0.25">
      <c r="A312" s="94"/>
      <c r="B312" s="94"/>
      <c r="C312" s="94"/>
      <c r="D312" s="122"/>
    </row>
    <row r="313" spans="1:4" x14ac:dyDescent="0.25">
      <c r="A313" s="94"/>
      <c r="B313" s="94"/>
      <c r="C313" s="94"/>
      <c r="D313" s="122"/>
    </row>
    <row r="314" spans="1:4" x14ac:dyDescent="0.25">
      <c r="A314" s="94"/>
      <c r="B314" s="94"/>
      <c r="C314" s="94"/>
      <c r="D314" s="122"/>
    </row>
    <row r="315" spans="1:4" x14ac:dyDescent="0.25">
      <c r="A315" s="94"/>
      <c r="B315" s="94"/>
      <c r="C315" s="94"/>
      <c r="D315" s="122"/>
    </row>
    <row r="316" spans="1:4" x14ac:dyDescent="0.25">
      <c r="A316" s="94"/>
      <c r="B316" s="94"/>
      <c r="C316" s="94"/>
      <c r="D316" s="122"/>
    </row>
    <row r="317" spans="1:4" x14ac:dyDescent="0.25">
      <c r="A317" s="94"/>
      <c r="B317" s="94"/>
      <c r="C317" s="94"/>
      <c r="D317" s="122"/>
    </row>
    <row r="318" spans="1:4" x14ac:dyDescent="0.25">
      <c r="A318" s="94"/>
      <c r="B318" s="94"/>
      <c r="C318" s="94"/>
      <c r="D318" s="122"/>
    </row>
    <row r="319" spans="1:4" x14ac:dyDescent="0.25">
      <c r="A319" s="94"/>
      <c r="B319" s="94"/>
      <c r="C319" s="94"/>
      <c r="D319" s="122"/>
    </row>
    <row r="320" spans="1:4" x14ac:dyDescent="0.25">
      <c r="A320" s="94"/>
      <c r="B320" s="94"/>
      <c r="C320" s="94"/>
      <c r="D320" s="122"/>
    </row>
    <row r="321" spans="1:4" x14ac:dyDescent="0.25">
      <c r="A321" s="94"/>
      <c r="B321" s="94"/>
      <c r="C321" s="94"/>
      <c r="D321" s="122"/>
    </row>
    <row r="322" spans="1:4" x14ac:dyDescent="0.25">
      <c r="A322" s="94"/>
      <c r="B322" s="94"/>
      <c r="C322" s="94"/>
      <c r="D322" s="122"/>
    </row>
    <row r="323" spans="1:4" x14ac:dyDescent="0.25">
      <c r="A323" s="94"/>
      <c r="B323" s="94"/>
      <c r="C323" s="94"/>
      <c r="D323" s="122"/>
    </row>
    <row r="324" spans="1:4" x14ac:dyDescent="0.25">
      <c r="A324" s="94"/>
      <c r="B324" s="94"/>
      <c r="C324" s="94"/>
      <c r="D324" s="122"/>
    </row>
    <row r="325" spans="1:4" x14ac:dyDescent="0.25">
      <c r="A325" s="94"/>
      <c r="B325" s="94"/>
      <c r="C325" s="94"/>
      <c r="D325" s="122"/>
    </row>
    <row r="326" spans="1:4" x14ac:dyDescent="0.25">
      <c r="A326" s="94"/>
      <c r="B326" s="94"/>
      <c r="C326" s="94"/>
      <c r="D326" s="122"/>
    </row>
    <row r="327" spans="1:4" x14ac:dyDescent="0.25">
      <c r="A327" s="94"/>
      <c r="B327" s="94"/>
      <c r="C327" s="94"/>
      <c r="D327" s="122"/>
    </row>
    <row r="328" spans="1:4" x14ac:dyDescent="0.25">
      <c r="A328" s="94"/>
      <c r="B328" s="94"/>
      <c r="C328" s="94"/>
      <c r="D328" s="122"/>
    </row>
    <row r="329" spans="1:4" x14ac:dyDescent="0.25">
      <c r="A329" s="94"/>
      <c r="B329" s="94"/>
      <c r="C329" s="94"/>
      <c r="D329" s="122"/>
    </row>
    <row r="330" spans="1:4" x14ac:dyDescent="0.25">
      <c r="A330" s="94"/>
      <c r="B330" s="94"/>
      <c r="C330" s="94"/>
      <c r="D330" s="122"/>
    </row>
    <row r="331" spans="1:4" x14ac:dyDescent="0.25">
      <c r="A331" s="94"/>
      <c r="B331" s="94"/>
      <c r="C331" s="94"/>
      <c r="D331" s="122"/>
    </row>
    <row r="332" spans="1:4" x14ac:dyDescent="0.25">
      <c r="A332" s="94"/>
      <c r="B332" s="94"/>
      <c r="C332" s="94"/>
      <c r="D332" s="122"/>
    </row>
    <row r="333" spans="1:4" x14ac:dyDescent="0.25">
      <c r="A333" s="94"/>
      <c r="B333" s="94"/>
      <c r="C333" s="94"/>
      <c r="D333" s="122"/>
    </row>
    <row r="334" spans="1:4" x14ac:dyDescent="0.25">
      <c r="A334" s="94"/>
      <c r="B334" s="94"/>
      <c r="C334" s="94"/>
      <c r="D334" s="122"/>
    </row>
    <row r="335" spans="1:4" x14ac:dyDescent="0.25">
      <c r="A335" s="94"/>
      <c r="B335" s="94"/>
      <c r="C335" s="94"/>
      <c r="D335" s="122"/>
    </row>
    <row r="336" spans="1:4" x14ac:dyDescent="0.25">
      <c r="A336" s="94"/>
      <c r="B336" s="94"/>
      <c r="C336" s="94"/>
      <c r="D336" s="122"/>
    </row>
    <row r="337" spans="1:4" x14ac:dyDescent="0.25">
      <c r="A337" s="94"/>
      <c r="B337" s="94"/>
      <c r="C337" s="94"/>
      <c r="D337" s="122"/>
    </row>
    <row r="338" spans="1:4" x14ac:dyDescent="0.25">
      <c r="A338" s="94"/>
      <c r="B338" s="94"/>
      <c r="C338" s="94"/>
      <c r="D338" s="122"/>
    </row>
    <row r="339" spans="1:4" x14ac:dyDescent="0.25">
      <c r="A339" s="94"/>
      <c r="B339" s="94"/>
      <c r="C339" s="94"/>
      <c r="D339" s="122"/>
    </row>
    <row r="340" spans="1:4" x14ac:dyDescent="0.25">
      <c r="A340" s="94"/>
      <c r="B340" s="94"/>
      <c r="C340" s="94"/>
      <c r="D340" s="122"/>
    </row>
    <row r="341" spans="1:4" x14ac:dyDescent="0.25">
      <c r="A341" s="94"/>
      <c r="B341" s="94"/>
      <c r="C341" s="94"/>
      <c r="D341" s="122"/>
    </row>
    <row r="342" spans="1:4" x14ac:dyDescent="0.25">
      <c r="A342" s="94"/>
      <c r="B342" s="94"/>
      <c r="C342" s="94"/>
      <c r="D342" s="122"/>
    </row>
    <row r="343" spans="1:4" x14ac:dyDescent="0.25">
      <c r="A343" s="94"/>
      <c r="B343" s="94"/>
      <c r="C343" s="94"/>
      <c r="D343" s="122"/>
    </row>
    <row r="344" spans="1:4" x14ac:dyDescent="0.25">
      <c r="A344" s="94"/>
      <c r="B344" s="94"/>
      <c r="C344" s="94"/>
      <c r="D344" s="122"/>
    </row>
    <row r="345" spans="1:4" x14ac:dyDescent="0.25">
      <c r="A345" s="94"/>
      <c r="B345" s="94"/>
      <c r="C345" s="94"/>
      <c r="D345" s="122"/>
    </row>
    <row r="346" spans="1:4" x14ac:dyDescent="0.25">
      <c r="A346" s="94"/>
      <c r="B346" s="94"/>
      <c r="C346" s="94"/>
      <c r="D346" s="122"/>
    </row>
    <row r="347" spans="1:4" x14ac:dyDescent="0.25">
      <c r="A347" s="94"/>
      <c r="B347" s="94"/>
      <c r="C347" s="94"/>
      <c r="D347" s="122"/>
    </row>
    <row r="348" spans="1:4" x14ac:dyDescent="0.25">
      <c r="A348" s="94"/>
      <c r="B348" s="94"/>
      <c r="C348" s="94"/>
      <c r="D348" s="122"/>
    </row>
    <row r="349" spans="1:4" x14ac:dyDescent="0.25">
      <c r="A349" s="94"/>
      <c r="B349" s="94"/>
      <c r="C349" s="94"/>
      <c r="D349" s="122"/>
    </row>
    <row r="350" spans="1:4" x14ac:dyDescent="0.25">
      <c r="A350" s="94"/>
      <c r="B350" s="94"/>
      <c r="C350" s="94"/>
      <c r="D350" s="122"/>
    </row>
    <row r="351" spans="1:4" x14ac:dyDescent="0.25">
      <c r="A351" s="94"/>
      <c r="B351" s="94"/>
      <c r="C351" s="94"/>
      <c r="D351" s="122"/>
    </row>
    <row r="352" spans="1:4" x14ac:dyDescent="0.25">
      <c r="A352" s="94"/>
      <c r="B352" s="94"/>
      <c r="C352" s="94"/>
      <c r="D352" s="122"/>
    </row>
    <row r="353" spans="1:4" x14ac:dyDescent="0.25">
      <c r="A353" s="94"/>
      <c r="B353" s="94"/>
      <c r="C353" s="94"/>
      <c r="D353" s="122"/>
    </row>
    <row r="354" spans="1:4" x14ac:dyDescent="0.25">
      <c r="A354" s="94"/>
      <c r="B354" s="94"/>
      <c r="C354" s="94"/>
      <c r="D354" s="122"/>
    </row>
    <row r="355" spans="1:4" x14ac:dyDescent="0.25">
      <c r="A355" s="94"/>
      <c r="B355" s="94"/>
      <c r="C355" s="94"/>
      <c r="D355" s="122"/>
    </row>
    <row r="356" spans="1:4" x14ac:dyDescent="0.25">
      <c r="A356" s="94"/>
      <c r="B356" s="94"/>
      <c r="C356" s="94"/>
      <c r="D356" s="122"/>
    </row>
    <row r="357" spans="1:4" x14ac:dyDescent="0.25">
      <c r="A357" s="94"/>
      <c r="B357" s="94"/>
      <c r="C357" s="94"/>
      <c r="D357" s="122"/>
    </row>
    <row r="358" spans="1:4" x14ac:dyDescent="0.25">
      <c r="A358" s="94"/>
      <c r="B358" s="94"/>
      <c r="C358" s="94"/>
      <c r="D358" s="122"/>
    </row>
    <row r="359" spans="1:4" x14ac:dyDescent="0.25">
      <c r="A359" s="94"/>
      <c r="B359" s="94"/>
      <c r="C359" s="94"/>
      <c r="D359" s="122"/>
    </row>
    <row r="360" spans="1:4" x14ac:dyDescent="0.25">
      <c r="A360" s="94"/>
      <c r="B360" s="94"/>
      <c r="C360" s="94"/>
      <c r="D360" s="122"/>
    </row>
    <row r="361" spans="1:4" x14ac:dyDescent="0.25">
      <c r="A361" s="94"/>
      <c r="B361" s="94"/>
      <c r="C361" s="94"/>
      <c r="D361" s="122"/>
    </row>
    <row r="362" spans="1:4" x14ac:dyDescent="0.25">
      <c r="A362" s="94"/>
      <c r="B362" s="94"/>
      <c r="C362" s="94"/>
      <c r="D362" s="122"/>
    </row>
    <row r="363" spans="1:4" x14ac:dyDescent="0.25">
      <c r="A363" s="94"/>
      <c r="B363" s="94"/>
      <c r="C363" s="94"/>
      <c r="D363" s="122"/>
    </row>
    <row r="364" spans="1:4" x14ac:dyDescent="0.25">
      <c r="A364" s="94"/>
      <c r="B364" s="94"/>
      <c r="C364" s="94"/>
      <c r="D364" s="122"/>
    </row>
    <row r="365" spans="1:4" x14ac:dyDescent="0.25">
      <c r="A365" s="94"/>
      <c r="B365" s="94"/>
      <c r="C365" s="94"/>
      <c r="D365" s="122"/>
    </row>
    <row r="366" spans="1:4" x14ac:dyDescent="0.25">
      <c r="A366" s="94"/>
      <c r="B366" s="94"/>
      <c r="C366" s="94"/>
      <c r="D366" s="122"/>
    </row>
    <row r="367" spans="1:4" x14ac:dyDescent="0.25">
      <c r="A367" s="94"/>
      <c r="B367" s="94"/>
      <c r="C367" s="94"/>
      <c r="D367" s="122"/>
    </row>
    <row r="368" spans="1:4" x14ac:dyDescent="0.25">
      <c r="A368" s="94"/>
      <c r="B368" s="94"/>
      <c r="C368" s="94"/>
      <c r="D368" s="122"/>
    </row>
    <row r="369" spans="1:4" x14ac:dyDescent="0.25">
      <c r="A369" s="94"/>
      <c r="B369" s="94"/>
      <c r="C369" s="94"/>
      <c r="D369" s="122"/>
    </row>
    <row r="370" spans="1:4" x14ac:dyDescent="0.25">
      <c r="A370" s="94"/>
      <c r="B370" s="94"/>
      <c r="C370" s="94"/>
      <c r="D370" s="122"/>
    </row>
    <row r="371" spans="1:4" x14ac:dyDescent="0.25">
      <c r="A371" s="94"/>
      <c r="B371" s="94"/>
      <c r="C371" s="94"/>
      <c r="D371" s="122"/>
    </row>
    <row r="372" spans="1:4" x14ac:dyDescent="0.25">
      <c r="A372" s="94"/>
      <c r="B372" s="94"/>
      <c r="C372" s="94"/>
      <c r="D372" s="122"/>
    </row>
    <row r="373" spans="1:4" x14ac:dyDescent="0.25">
      <c r="A373" s="94"/>
      <c r="B373" s="94"/>
      <c r="C373" s="94"/>
      <c r="D373" s="122"/>
    </row>
    <row r="374" spans="1:4" x14ac:dyDescent="0.25">
      <c r="A374" s="94"/>
      <c r="B374" s="94"/>
      <c r="C374" s="94"/>
      <c r="D374" s="122"/>
    </row>
    <row r="375" spans="1:4" x14ac:dyDescent="0.25">
      <c r="A375" s="94"/>
      <c r="B375" s="94"/>
      <c r="C375" s="94"/>
      <c r="D375" s="122"/>
    </row>
    <row r="376" spans="1:4" x14ac:dyDescent="0.25">
      <c r="A376" s="94"/>
      <c r="B376" s="94"/>
      <c r="C376" s="94"/>
      <c r="D376" s="122"/>
    </row>
    <row r="377" spans="1:4" x14ac:dyDescent="0.25">
      <c r="A377" s="94"/>
      <c r="B377" s="94"/>
      <c r="C377" s="94"/>
      <c r="D377" s="122"/>
    </row>
    <row r="378" spans="1:4" x14ac:dyDescent="0.25">
      <c r="A378" s="94"/>
      <c r="B378" s="94"/>
      <c r="C378" s="94"/>
      <c r="D378" s="122"/>
    </row>
    <row r="379" spans="1:4" x14ac:dyDescent="0.25">
      <c r="A379" s="94"/>
      <c r="B379" s="94"/>
      <c r="C379" s="94"/>
      <c r="D379" s="122"/>
    </row>
    <row r="380" spans="1:4" x14ac:dyDescent="0.25">
      <c r="A380" s="94"/>
      <c r="B380" s="94"/>
      <c r="C380" s="94"/>
      <c r="D380" s="122"/>
    </row>
    <row r="381" spans="1:4" x14ac:dyDescent="0.25">
      <c r="A381" s="94"/>
      <c r="B381" s="94"/>
      <c r="C381" s="94"/>
      <c r="D381" s="122"/>
    </row>
    <row r="382" spans="1:4" x14ac:dyDescent="0.25">
      <c r="A382" s="94"/>
      <c r="B382" s="94"/>
      <c r="C382" s="94"/>
      <c r="D382" s="122"/>
    </row>
    <row r="383" spans="1:4" x14ac:dyDescent="0.25">
      <c r="A383" s="94"/>
      <c r="B383" s="94"/>
      <c r="C383" s="94"/>
      <c r="D383" s="122"/>
    </row>
    <row r="384" spans="1:4" x14ac:dyDescent="0.25">
      <c r="A384" s="94"/>
      <c r="B384" s="94"/>
      <c r="C384" s="94"/>
      <c r="D384" s="122"/>
    </row>
    <row r="385" spans="1:4" x14ac:dyDescent="0.25">
      <c r="A385" s="94"/>
      <c r="B385" s="94"/>
      <c r="C385" s="94"/>
      <c r="D385" s="122"/>
    </row>
    <row r="386" spans="1:4" x14ac:dyDescent="0.25">
      <c r="A386" s="94"/>
      <c r="B386" s="94"/>
      <c r="C386" s="94"/>
      <c r="D386" s="122"/>
    </row>
    <row r="387" spans="1:4" x14ac:dyDescent="0.25">
      <c r="A387" s="94"/>
      <c r="B387" s="94"/>
      <c r="C387" s="94"/>
      <c r="D387" s="122"/>
    </row>
    <row r="388" spans="1:4" x14ac:dyDescent="0.25">
      <c r="A388" s="94"/>
      <c r="B388" s="94"/>
      <c r="C388" s="94"/>
      <c r="D388" s="122"/>
    </row>
    <row r="389" spans="1:4" x14ac:dyDescent="0.25">
      <c r="A389" s="94"/>
      <c r="B389" s="94"/>
      <c r="C389" s="94"/>
      <c r="D389" s="122"/>
    </row>
    <row r="390" spans="1:4" x14ac:dyDescent="0.25">
      <c r="A390" s="94"/>
      <c r="B390" s="94"/>
      <c r="C390" s="94"/>
      <c r="D390" s="122"/>
    </row>
    <row r="391" spans="1:4" x14ac:dyDescent="0.25">
      <c r="A391" s="94"/>
      <c r="B391" s="94"/>
      <c r="C391" s="94"/>
      <c r="D391" s="122"/>
    </row>
    <row r="392" spans="1:4" x14ac:dyDescent="0.25">
      <c r="A392" s="94"/>
      <c r="B392" s="94"/>
      <c r="C392" s="94"/>
      <c r="D392" s="122"/>
    </row>
    <row r="393" spans="1:4" x14ac:dyDescent="0.25">
      <c r="A393" s="94"/>
      <c r="B393" s="94"/>
      <c r="C393" s="94"/>
      <c r="D393" s="122"/>
    </row>
    <row r="394" spans="1:4" x14ac:dyDescent="0.25">
      <c r="A394" s="94"/>
      <c r="B394" s="94"/>
      <c r="C394" s="94"/>
      <c r="D394" s="122"/>
    </row>
    <row r="395" spans="1:4" x14ac:dyDescent="0.25">
      <c r="A395" s="94"/>
      <c r="B395" s="94"/>
      <c r="C395" s="94"/>
      <c r="D395" s="122"/>
    </row>
    <row r="396" spans="1:4" x14ac:dyDescent="0.25">
      <c r="A396" s="94"/>
      <c r="B396" s="94"/>
      <c r="C396" s="94"/>
      <c r="D396" s="122"/>
    </row>
    <row r="397" spans="1:4" x14ac:dyDescent="0.25">
      <c r="A397" s="94"/>
      <c r="B397" s="94"/>
      <c r="C397" s="94"/>
      <c r="D397" s="122"/>
    </row>
    <row r="398" spans="1:4" x14ac:dyDescent="0.25">
      <c r="A398" s="94"/>
      <c r="B398" s="94"/>
      <c r="C398" s="94"/>
      <c r="D398" s="122"/>
    </row>
    <row r="399" spans="1:4" x14ac:dyDescent="0.25">
      <c r="A399" s="94"/>
      <c r="B399" s="94"/>
      <c r="C399" s="94"/>
      <c r="D399" s="122"/>
    </row>
    <row r="400" spans="1:4" x14ac:dyDescent="0.25">
      <c r="A400" s="94"/>
      <c r="B400" s="94"/>
      <c r="C400" s="94"/>
      <c r="D400" s="122"/>
    </row>
    <row r="401" spans="1:4" x14ac:dyDescent="0.25">
      <c r="A401" s="94"/>
      <c r="B401" s="94"/>
      <c r="C401" s="94"/>
      <c r="D401" s="122"/>
    </row>
    <row r="402" spans="1:4" x14ac:dyDescent="0.25">
      <c r="A402" s="94"/>
      <c r="B402" s="94"/>
      <c r="C402" s="94"/>
      <c r="D402" s="122"/>
    </row>
    <row r="403" spans="1:4" x14ac:dyDescent="0.25">
      <c r="A403" s="94"/>
      <c r="B403" s="94"/>
      <c r="C403" s="94"/>
      <c r="D403" s="122"/>
    </row>
    <row r="404" spans="1:4" x14ac:dyDescent="0.25">
      <c r="A404" s="94"/>
      <c r="B404" s="94"/>
      <c r="C404" s="94"/>
      <c r="D404" s="122"/>
    </row>
    <row r="405" spans="1:4" x14ac:dyDescent="0.25">
      <c r="A405" s="94"/>
      <c r="B405" s="94"/>
      <c r="C405" s="94"/>
      <c r="D405" s="122"/>
    </row>
    <row r="406" spans="1:4" x14ac:dyDescent="0.25">
      <c r="A406" s="94"/>
      <c r="B406" s="94"/>
      <c r="C406" s="94"/>
      <c r="D406" s="122"/>
    </row>
    <row r="407" spans="1:4" x14ac:dyDescent="0.25">
      <c r="A407" s="94"/>
      <c r="B407" s="94"/>
      <c r="C407" s="94"/>
      <c r="D407" s="122"/>
    </row>
    <row r="408" spans="1:4" x14ac:dyDescent="0.25">
      <c r="A408" s="94"/>
      <c r="B408" s="94"/>
      <c r="C408" s="94"/>
      <c r="D408" s="122"/>
    </row>
    <row r="409" spans="1:4" x14ac:dyDescent="0.25">
      <c r="A409" s="94"/>
      <c r="B409" s="94"/>
      <c r="C409" s="94"/>
      <c r="D409" s="122"/>
    </row>
    <row r="410" spans="1:4" x14ac:dyDescent="0.25">
      <c r="A410" s="94"/>
      <c r="B410" s="94"/>
      <c r="C410" s="94"/>
      <c r="D410" s="122"/>
    </row>
    <row r="411" spans="1:4" x14ac:dyDescent="0.25">
      <c r="A411" s="94"/>
      <c r="B411" s="94"/>
      <c r="C411" s="94"/>
      <c r="D411" s="122"/>
    </row>
    <row r="412" spans="1:4" x14ac:dyDescent="0.25">
      <c r="A412" s="94"/>
      <c r="B412" s="94"/>
      <c r="C412" s="94"/>
      <c r="D412" s="122"/>
    </row>
    <row r="413" spans="1:4" x14ac:dyDescent="0.25">
      <c r="A413" s="94"/>
      <c r="B413" s="94"/>
      <c r="C413" s="94"/>
      <c r="D413" s="122"/>
    </row>
    <row r="414" spans="1:4" x14ac:dyDescent="0.25">
      <c r="A414" s="94"/>
      <c r="B414" s="94"/>
      <c r="C414" s="94"/>
      <c r="D414" s="122"/>
    </row>
    <row r="415" spans="1:4" x14ac:dyDescent="0.25">
      <c r="A415" s="94"/>
      <c r="B415" s="94"/>
      <c r="C415" s="94"/>
      <c r="D415" s="122"/>
    </row>
    <row r="416" spans="1:4" x14ac:dyDescent="0.25">
      <c r="A416" s="94"/>
      <c r="B416" s="94"/>
      <c r="C416" s="94"/>
      <c r="D416" s="122"/>
    </row>
    <row r="417" spans="1:4" x14ac:dyDescent="0.25">
      <c r="A417" s="94"/>
      <c r="B417" s="94"/>
      <c r="C417" s="94"/>
      <c r="D417" s="122"/>
    </row>
    <row r="418" spans="1:4" x14ac:dyDescent="0.25">
      <c r="A418" s="94"/>
      <c r="B418" s="94"/>
      <c r="C418" s="94"/>
      <c r="D418" s="122"/>
    </row>
    <row r="419" spans="1:4" x14ac:dyDescent="0.25">
      <c r="A419" s="94"/>
      <c r="B419" s="94"/>
      <c r="C419" s="94"/>
      <c r="D419" s="122"/>
    </row>
    <row r="420" spans="1:4" x14ac:dyDescent="0.25">
      <c r="A420" s="94"/>
      <c r="B420" s="94"/>
      <c r="C420" s="94"/>
      <c r="D420" s="122"/>
    </row>
    <row r="421" spans="1:4" x14ac:dyDescent="0.25">
      <c r="A421" s="94"/>
      <c r="B421" s="94"/>
      <c r="C421" s="94"/>
      <c r="D421" s="122"/>
    </row>
    <row r="422" spans="1:4" x14ac:dyDescent="0.25">
      <c r="A422" s="94"/>
      <c r="B422" s="94"/>
      <c r="C422" s="94"/>
      <c r="D422" s="122"/>
    </row>
    <row r="423" spans="1:4" x14ac:dyDescent="0.25">
      <c r="A423" s="94"/>
      <c r="B423" s="94"/>
      <c r="C423" s="94"/>
      <c r="D423" s="122"/>
    </row>
    <row r="424" spans="1:4" x14ac:dyDescent="0.25">
      <c r="A424" s="94"/>
      <c r="B424" s="94"/>
      <c r="C424" s="94"/>
      <c r="D424" s="122"/>
    </row>
    <row r="425" spans="1:4" x14ac:dyDescent="0.25">
      <c r="A425" s="94"/>
      <c r="B425" s="94"/>
      <c r="C425" s="94"/>
      <c r="D425" s="122"/>
    </row>
    <row r="426" spans="1:4" x14ac:dyDescent="0.25">
      <c r="A426" s="94"/>
      <c r="B426" s="94"/>
      <c r="C426" s="94"/>
      <c r="D426" s="122"/>
    </row>
    <row r="427" spans="1:4" x14ac:dyDescent="0.25">
      <c r="A427" s="94"/>
      <c r="B427" s="94"/>
      <c r="C427" s="94"/>
      <c r="D427" s="122"/>
    </row>
    <row r="428" spans="1:4" x14ac:dyDescent="0.25">
      <c r="A428" s="94"/>
      <c r="B428" s="94"/>
      <c r="C428" s="94"/>
      <c r="D428" s="122"/>
    </row>
    <row r="429" spans="1:4" x14ac:dyDescent="0.25">
      <c r="A429" s="94"/>
      <c r="B429" s="94"/>
      <c r="C429" s="94"/>
      <c r="D429" s="122"/>
    </row>
    <row r="430" spans="1:4" x14ac:dyDescent="0.25">
      <c r="A430" s="94"/>
      <c r="B430" s="94"/>
      <c r="C430" s="94"/>
      <c r="D430" s="122"/>
    </row>
    <row r="431" spans="1:4" x14ac:dyDescent="0.25">
      <c r="A431" s="94"/>
      <c r="B431" s="94"/>
      <c r="C431" s="94"/>
      <c r="D431" s="122"/>
    </row>
    <row r="432" spans="1:4" x14ac:dyDescent="0.25">
      <c r="A432" s="94"/>
      <c r="B432" s="94"/>
      <c r="C432" s="94"/>
      <c r="D432" s="122"/>
    </row>
    <row r="433" spans="1:4" x14ac:dyDescent="0.25">
      <c r="A433" s="94"/>
      <c r="B433" s="94"/>
      <c r="C433" s="94"/>
      <c r="D433" s="122"/>
    </row>
    <row r="434" spans="1:4" x14ac:dyDescent="0.25">
      <c r="A434" s="94"/>
      <c r="B434" s="94"/>
      <c r="C434" s="94"/>
      <c r="D434" s="122"/>
    </row>
    <row r="435" spans="1:4" x14ac:dyDescent="0.25">
      <c r="A435" s="94"/>
      <c r="B435" s="94"/>
      <c r="C435" s="94"/>
      <c r="D435" s="122"/>
    </row>
    <row r="436" spans="1:4" x14ac:dyDescent="0.25">
      <c r="A436" s="94"/>
      <c r="B436" s="94"/>
      <c r="C436" s="94"/>
      <c r="D436" s="122"/>
    </row>
    <row r="437" spans="1:4" x14ac:dyDescent="0.25">
      <c r="A437" s="94"/>
      <c r="B437" s="94"/>
      <c r="C437" s="94"/>
      <c r="D437" s="122"/>
    </row>
    <row r="438" spans="1:4" x14ac:dyDescent="0.25">
      <c r="A438" s="94"/>
      <c r="B438" s="94"/>
      <c r="C438" s="94"/>
      <c r="D438" s="122"/>
    </row>
    <row r="439" spans="1:4" x14ac:dyDescent="0.25">
      <c r="A439" s="94"/>
      <c r="B439" s="94"/>
      <c r="C439" s="94"/>
      <c r="D439" s="122"/>
    </row>
    <row r="440" spans="1:4" x14ac:dyDescent="0.25">
      <c r="A440" s="94"/>
      <c r="B440" s="94"/>
      <c r="C440" s="94"/>
      <c r="D440" s="122"/>
    </row>
    <row r="441" spans="1:4" x14ac:dyDescent="0.25">
      <c r="A441" s="94"/>
      <c r="B441" s="94"/>
      <c r="C441" s="94"/>
      <c r="D441" s="122"/>
    </row>
    <row r="442" spans="1:4" x14ac:dyDescent="0.25">
      <c r="A442" s="94"/>
      <c r="B442" s="94"/>
      <c r="C442" s="94"/>
      <c r="D442" s="122"/>
    </row>
    <row r="443" spans="1:4" x14ac:dyDescent="0.25">
      <c r="A443" s="94"/>
      <c r="B443" s="94"/>
      <c r="C443" s="94"/>
      <c r="D443" s="122"/>
    </row>
    <row r="444" spans="1:4" x14ac:dyDescent="0.25">
      <c r="A444" s="94"/>
      <c r="B444" s="94"/>
      <c r="C444" s="94"/>
      <c r="D444" s="122"/>
    </row>
    <row r="445" spans="1:4" x14ac:dyDescent="0.25">
      <c r="A445" s="94"/>
      <c r="B445" s="94"/>
      <c r="C445" s="94"/>
      <c r="D445" s="122"/>
    </row>
    <row r="446" spans="1:4" x14ac:dyDescent="0.25">
      <c r="A446" s="94"/>
      <c r="B446" s="94"/>
      <c r="C446" s="94"/>
      <c r="D446" s="122"/>
    </row>
    <row r="447" spans="1:4" x14ac:dyDescent="0.25">
      <c r="A447" s="94"/>
      <c r="B447" s="94"/>
      <c r="C447" s="94"/>
      <c r="D447" s="122"/>
    </row>
    <row r="448" spans="1:4" x14ac:dyDescent="0.25">
      <c r="A448" s="94"/>
      <c r="B448" s="94"/>
      <c r="C448" s="94"/>
      <c r="D448" s="122"/>
    </row>
    <row r="449" spans="1:4" x14ac:dyDescent="0.25">
      <c r="A449" s="94"/>
      <c r="B449" s="94"/>
      <c r="C449" s="94"/>
      <c r="D449" s="122"/>
    </row>
    <row r="450" spans="1:4" x14ac:dyDescent="0.25">
      <c r="A450" s="94"/>
      <c r="B450" s="94"/>
      <c r="C450" s="94"/>
      <c r="D450" s="122"/>
    </row>
    <row r="451" spans="1:4" x14ac:dyDescent="0.25">
      <c r="A451" s="94"/>
      <c r="B451" s="94"/>
      <c r="C451" s="94"/>
      <c r="D451" s="122"/>
    </row>
    <row r="452" spans="1:4" x14ac:dyDescent="0.25">
      <c r="A452" s="94"/>
      <c r="B452" s="94"/>
      <c r="C452" s="94"/>
      <c r="D452" s="122"/>
    </row>
    <row r="453" spans="1:4" x14ac:dyDescent="0.25">
      <c r="A453" s="94"/>
      <c r="B453" s="94"/>
      <c r="C453" s="94"/>
      <c r="D453" s="122"/>
    </row>
    <row r="454" spans="1:4" x14ac:dyDescent="0.25">
      <c r="A454" s="94"/>
      <c r="B454" s="94"/>
      <c r="C454" s="94"/>
      <c r="D454" s="122"/>
    </row>
    <row r="455" spans="1:4" x14ac:dyDescent="0.25">
      <c r="A455" s="94"/>
      <c r="B455" s="94"/>
      <c r="C455" s="94"/>
      <c r="D455" s="122"/>
    </row>
    <row r="456" spans="1:4" x14ac:dyDescent="0.25">
      <c r="A456" s="94"/>
      <c r="B456" s="94"/>
      <c r="C456" s="94"/>
      <c r="D456" s="122"/>
    </row>
  </sheetData>
  <mergeCells count="3">
    <mergeCell ref="A1:I1"/>
    <mergeCell ref="A2:I2"/>
    <mergeCell ref="A217:E2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Rezultat poslovanja</vt:lpstr>
      <vt:lpstr>Plan prihodi i primitci </vt:lpstr>
      <vt:lpstr>Prihodi</vt:lpstr>
      <vt:lpstr>Rashodi</vt:lpstr>
      <vt:lpstr>Račun financiranja</vt:lpstr>
      <vt:lpstr>Sheet1</vt:lpstr>
      <vt:lpstr>Prihodi!Podrucje_ispisa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Kolić</dc:creator>
  <cp:lastModifiedBy>Magda</cp:lastModifiedBy>
  <cp:lastPrinted>2024-08-29T08:02:21Z</cp:lastPrinted>
  <dcterms:created xsi:type="dcterms:W3CDTF">2013-11-21T12:56:33Z</dcterms:created>
  <dcterms:modified xsi:type="dcterms:W3CDTF">2024-08-29T08:03:35Z</dcterms:modified>
</cp:coreProperties>
</file>